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65524" windowWidth="7680" windowHeight="10356" activeTab="0"/>
  </bookViews>
  <sheets>
    <sheet name="Step Weight" sheetId="1" r:id="rId1"/>
    <sheet name="Step Cycle Diver &amp; " sheetId="2" r:id="rId2"/>
    <sheet name="Short information" sheetId="3" r:id="rId3"/>
  </sheets>
  <externalReferences>
    <externalReference r:id="rId6"/>
  </externalReferences>
  <definedNames>
    <definedName name="_xlnm.Print_Area" localSheetId="2">'Short information'!$A$1:$O$22</definedName>
    <definedName name="_xlnm.Print_Area" localSheetId="1">'Step Cycle Diver &amp; '!$A$1:$F$56</definedName>
    <definedName name="_xlnm.Print_Area" localSheetId="0">'Step Weight'!$A$1:$F$47</definedName>
    <definedName name="bmi" localSheetId="2">#REF!</definedName>
    <definedName name="bmi" localSheetId="1">'Step Cycle Diver &amp; '!$E$14</definedName>
    <definedName name="bmi" localSheetId="0">'Step Weight'!$E$15</definedName>
    <definedName name="bmi">#REF!</definedName>
    <definedName name="bmim" localSheetId="2">#REF!</definedName>
    <definedName name="bmim" localSheetId="1">'Step Cycle Diver &amp; '!$I$19</definedName>
    <definedName name="bmim" localSheetId="0">'Step Weight'!#REF!</definedName>
    <definedName name="bmim">#REF!</definedName>
    <definedName name="bmiv" localSheetId="2">#REF!</definedName>
    <definedName name="bmiv" localSheetId="1">'Step Cycle Diver &amp; '!$J$19</definedName>
    <definedName name="bmiv" localSheetId="0">'Step Weight'!#REF!</definedName>
    <definedName name="bmiv">#REF!</definedName>
    <definedName name="bodyfat" localSheetId="2">#REF!</definedName>
    <definedName name="bodyfat" localSheetId="1">'Step Cycle Diver &amp; '!$C$18</definedName>
    <definedName name="bodyfat" localSheetId="0">'Step Weight'!#REF!</definedName>
    <definedName name="bodyfat">#REF!</definedName>
    <definedName name="bodyfat1" localSheetId="2">#REF!</definedName>
    <definedName name="bodyfat1" localSheetId="1">'Step Cycle Diver &amp; '!$B$18</definedName>
    <definedName name="bodyfat1" localSheetId="0">'Step Weight'!#REF!</definedName>
    <definedName name="bodyfat1">#REF!</definedName>
    <definedName name="bodyfat2" localSheetId="2">#REF!</definedName>
    <definedName name="bodyfat2" localSheetId="1">'Step Cycle Diver &amp; '!$B$19</definedName>
    <definedName name="bodyfat2" localSheetId="0">'Step Weight'!#REF!</definedName>
    <definedName name="bodyfat2">#REF!</definedName>
    <definedName name="bubble" localSheetId="2">#REF!</definedName>
    <definedName name="bubble" localSheetId="1">'Step Cycle Diver &amp; '!$E$39</definedName>
    <definedName name="bubble" localSheetId="0">'Step Weight'!#REF!</definedName>
    <definedName name="bubble">#REF!</definedName>
    <definedName name="cfactor" localSheetId="2">#REF!</definedName>
    <definedName name="cfactor" localSheetId="1">'Step Cycle Diver &amp; '!$I$29</definedName>
    <definedName name="cfactor" localSheetId="0">'Step Weight'!$I$23</definedName>
    <definedName name="cfactor">#REF!</definedName>
    <definedName name="Coordeel" localSheetId="2">#REF!</definedName>
    <definedName name="Coordeel" localSheetId="1">'Step Cycle Diver &amp; '!$F$35</definedName>
    <definedName name="Coordeel" localSheetId="0">'Step Weight'!$F$29</definedName>
    <definedName name="Coordeel">#REF!</definedName>
    <definedName name="datum" localSheetId="2">#REF!</definedName>
    <definedName name="datum" localSheetId="1">'Step Cycle Diver &amp; '!$E$9</definedName>
    <definedName name="datum" localSheetId="0">'Step Weight'!$E$10</definedName>
    <definedName name="datum">#REF!</definedName>
    <definedName name="geboorte" localSheetId="2">#REF!</definedName>
    <definedName name="geboorte" localSheetId="1">'Step Cycle Diver &amp; '!$B$12</definedName>
    <definedName name="geboorte" localSheetId="0">'Step Weight'!$B$13</definedName>
    <definedName name="geboorte">#REF!</definedName>
    <definedName name="geslacht" localSheetId="2">#REF!</definedName>
    <definedName name="geslacht" localSheetId="1">'Step Cycle Diver &amp; '!$B$13</definedName>
    <definedName name="geslacht" localSheetId="0">'Step Weight'!$B$14</definedName>
    <definedName name="geslacht">#REF!</definedName>
    <definedName name="gewicht" localSheetId="2">#REF!</definedName>
    <definedName name="gewicht" localSheetId="1">'Step Cycle Diver &amp; '!$B$14</definedName>
    <definedName name="gewicht" localSheetId="0">'Step Weight'!$B$15</definedName>
    <definedName name="gewicht">#REF!</definedName>
    <definedName name="grens" localSheetId="2">#REF!</definedName>
    <definedName name="grens" localSheetId="1">'Step Cycle Diver &amp; '!$E$34</definedName>
    <definedName name="grens" localSheetId="0">'Step Weight'!$E$28</definedName>
    <definedName name="grens">#REF!</definedName>
    <definedName name="grensv" localSheetId="2">#REF!</definedName>
    <definedName name="grensv" localSheetId="1">'Step Cycle Diver &amp; '!$F$34</definedName>
    <definedName name="grensv" localSheetId="0">'Step Weight'!$F$28</definedName>
    <definedName name="grensv">#REF!</definedName>
    <definedName name="hartf" localSheetId="2">#REF!</definedName>
    <definedName name="hartf" localSheetId="1">'Step Cycle Diver &amp; '!$C$34</definedName>
    <definedName name="hartf" localSheetId="0">'Step Weight'!$C$28</definedName>
    <definedName name="hartf">#REF!</definedName>
    <definedName name="hartf5" localSheetId="2">#REF!</definedName>
    <definedName name="hartf5" localSheetId="1">'Step Cycle Diver &amp; '!$B$33</definedName>
    <definedName name="hartf5" localSheetId="0">'Step Weight'!$B$27</definedName>
    <definedName name="hartf5">#REF!</definedName>
    <definedName name="hartf6" localSheetId="2">#REF!</definedName>
    <definedName name="hartf6" localSheetId="1">'Step Cycle Diver &amp; '!$B$34</definedName>
    <definedName name="hartf6" localSheetId="0">'Step Weight'!$B$28</definedName>
    <definedName name="hartf6">#REF!</definedName>
    <definedName name="hartfm" localSheetId="1">'Step Cycle Diver &amp; '!$E$30</definedName>
    <definedName name="hartfm" localSheetId="0">'Step Weight'!$E$24</definedName>
    <definedName name="hartfm">#REF!</definedName>
    <definedName name="heup" localSheetId="2">#REF!</definedName>
    <definedName name="heup" localSheetId="1">'Step Cycle Diver &amp; '!$B$17</definedName>
    <definedName name="heup" localSheetId="0">'Step Weight'!$B$18</definedName>
    <definedName name="heup">#REF!</definedName>
    <definedName name="lengte" localSheetId="2">#REF!</definedName>
    <definedName name="lengte" localSheetId="1">'Step Cycle Diver &amp; '!$B$15</definedName>
    <definedName name="lengte" localSheetId="0">'Step Weight'!$B$16</definedName>
    <definedName name="lengte">#REF!</definedName>
    <definedName name="lft" localSheetId="2">#REF!</definedName>
    <definedName name="lft" localSheetId="1">'Step Cycle Diver &amp; '!$E$12</definedName>
    <definedName name="lft" localSheetId="0">'Step Weight'!$E$13</definedName>
    <definedName name="lft">#REF!</definedName>
    <definedName name="middel" localSheetId="2">#REF!</definedName>
    <definedName name="middel" localSheetId="1">'Step Cycle Diver &amp; '!$B$16</definedName>
    <definedName name="middel" localSheetId="0">'Step Weight'!$B$17</definedName>
    <definedName name="middel">#REF!</definedName>
    <definedName name="onderzoek" localSheetId="2">#REF!</definedName>
    <definedName name="onderzoek" localSheetId="1">'Step Cycle Diver &amp; '!$B$9</definedName>
    <definedName name="onderzoek" localSheetId="0">'Step Weight'!$B$10</definedName>
    <definedName name="onderzoek">#REF!</definedName>
    <definedName name="sigaret" localSheetId="2">#REF!</definedName>
    <definedName name="sigaret" localSheetId="1">'Step Cycle Diver &amp; '!$B$37</definedName>
    <definedName name="sigaret" localSheetId="0">'Step Weight'!#REF!</definedName>
    <definedName name="sigaret">#REF!</definedName>
    <definedName name="VetOordeel" localSheetId="2">#REF!</definedName>
    <definedName name="VetOordeel" localSheetId="1">'Step Cycle Diver &amp; '!$E$18</definedName>
    <definedName name="VetOordeel" localSheetId="0">'Step Weight'!#REF!</definedName>
    <definedName name="VetOordeel">#REF!</definedName>
    <definedName name="vo2m" localSheetId="2">#REF!</definedName>
    <definedName name="vo2m" localSheetId="1">'Step Cycle Diver &amp; '!$E$35</definedName>
    <definedName name="vo2m" localSheetId="0">'Step Weight'!$E$29</definedName>
    <definedName name="vo2m">#REF!</definedName>
    <definedName name="vo2n" localSheetId="2">#REF!</definedName>
    <definedName name="vo2n" localSheetId="1">'Step Cycle Diver &amp; '!$E$35</definedName>
    <definedName name="vo2n" localSheetId="0">'Step Weight'!$E$29</definedName>
    <definedName name="vo2n">#REF!</definedName>
    <definedName name="watt" localSheetId="2">#REF!</definedName>
    <definedName name="watt" localSheetId="1">'Step Cycle Diver &amp; '!$E$29</definedName>
    <definedName name="watt" localSheetId="0">'Step Weight'!$E$23</definedName>
    <definedName name="watt">#REF!</definedName>
    <definedName name="wattm" localSheetId="2">#REF!</definedName>
    <definedName name="wattm" localSheetId="1">'Step Cycle Diver &amp; '!$F$29</definedName>
    <definedName name="wattm" localSheetId="0">'Step Weight'!$F$23</definedName>
    <definedName name="wattm">#REF!</definedName>
    <definedName name="WattMax" localSheetId="1">'Step Cycle Diver &amp; '!$L$31</definedName>
    <definedName name="WattMax" localSheetId="0">'Step Weight'!$L$25</definedName>
    <definedName name="WattMax">'[1]Diver Oud'!$L$31</definedName>
    <definedName name="wattv" localSheetId="2">#REF!</definedName>
    <definedName name="wattv" localSheetId="1">'Step Cycle Diver &amp; '!$G$29</definedName>
    <definedName name="wattv" localSheetId="0">'Step Weight'!$G$23</definedName>
    <definedName name="wattv">#REF!</definedName>
    <definedName name="X" localSheetId="2">#REF!</definedName>
    <definedName name="X" localSheetId="1">'Step Cycle Diver &amp; '!#REF!</definedName>
    <definedName name="X" localSheetId="0">'Step Weight'!#REF!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<sst xmlns="http://schemas.openxmlformats.org/spreadsheetml/2006/main" count="196" uniqueCount="106">
  <si>
    <t xml:space="preserve"> </t>
  </si>
  <si>
    <t>FEV1</t>
  </si>
  <si>
    <t xml:space="preserve">FVC </t>
  </si>
  <si>
    <t>FER</t>
  </si>
  <si>
    <t>m</t>
  </si>
  <si>
    <t>vet %, l /n /h &lt;</t>
  </si>
  <si>
    <t>nico oud 2005 weg</t>
  </si>
  <si>
    <r>
      <t>VO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(max) ml/kg/min:</t>
    </r>
  </si>
  <si>
    <t>Date of examination</t>
  </si>
  <si>
    <t>Present date</t>
  </si>
  <si>
    <t>Surname Initials</t>
  </si>
  <si>
    <t>Date of Birth</t>
  </si>
  <si>
    <t>Steps / minute:</t>
  </si>
  <si>
    <t>Heartrate rest</t>
  </si>
  <si>
    <t>Heartrate 1e minute</t>
  </si>
  <si>
    <t>Heartrate 2e minute</t>
  </si>
  <si>
    <t>Heartrate 3e minute</t>
  </si>
  <si>
    <t>Watt at maximum heartrate</t>
  </si>
  <si>
    <t>Heartrate 4e minute</t>
  </si>
  <si>
    <t>Heartrate 5e minute</t>
  </si>
  <si>
    <t>Heartrate after 1 min. rest</t>
  </si>
  <si>
    <t>Advice:</t>
  </si>
  <si>
    <r>
      <t>Level VO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:</t>
    </r>
  </si>
  <si>
    <t>Waist/Hip ratio</t>
  </si>
  <si>
    <t>Bodyfat % calculated</t>
  </si>
  <si>
    <t>Fat % level</t>
  </si>
  <si>
    <t>Bodyfat % measured</t>
  </si>
  <si>
    <t>FEV1 predicted / %</t>
  </si>
  <si>
    <t>FVC  predicted / %</t>
  </si>
  <si>
    <t>PEF  predicted / %</t>
  </si>
  <si>
    <t>FER  predicted / %</t>
  </si>
  <si>
    <t>Blood pressure</t>
  </si>
  <si>
    <t>Improvement riskfactor dive accidents</t>
  </si>
  <si>
    <t>by smoking (rough prediction)</t>
  </si>
  <si>
    <t xml:space="preserve">Bubble Grade </t>
  </si>
  <si>
    <t>(rough predicted risk nitrogen bubbles)</t>
  </si>
  <si>
    <t>C.M. Baarda MD, Baarda Medical Service, Goes Netherlands</t>
  </si>
  <si>
    <t>Åstrand steptest (female: 33cm, male: 40 cm)</t>
  </si>
  <si>
    <t>cigarets a day</t>
  </si>
  <si>
    <r>
      <t xml:space="preserve">Weigth </t>
    </r>
    <r>
      <rPr>
        <sz val="9"/>
        <color indexed="8"/>
        <rFont val="Arial"/>
        <family val="2"/>
      </rPr>
      <t>kg</t>
    </r>
  </si>
  <si>
    <r>
      <t xml:space="preserve">Length </t>
    </r>
    <r>
      <rPr>
        <sz val="9"/>
        <color indexed="8"/>
        <rFont val="Arial"/>
        <family val="2"/>
      </rPr>
      <t>cm</t>
    </r>
  </si>
  <si>
    <r>
      <t xml:space="preserve">Waist  </t>
    </r>
    <r>
      <rPr>
        <sz val="9"/>
        <color indexed="8"/>
        <rFont val="Arial"/>
        <family val="2"/>
      </rPr>
      <t>cm</t>
    </r>
  </si>
  <si>
    <t>Age years</t>
  </si>
  <si>
    <t>Body Mass Index (Quetelet):</t>
  </si>
  <si>
    <t>kg above BMI  25  27</t>
  </si>
  <si>
    <t>www.baardakeuringen.nl</t>
  </si>
  <si>
    <t>Baarda Medische Keuringen</t>
  </si>
  <si>
    <t>limit subm. Heartrate</t>
  </si>
  <si>
    <t>Heartrate 6e minute</t>
  </si>
  <si>
    <t>RBB&lt;1999 man</t>
  </si>
  <si>
    <t>die onverenigbaar zijn met sportduiken</t>
  </si>
  <si>
    <r>
      <t xml:space="preserve">Hip     </t>
    </r>
    <r>
      <rPr>
        <sz val="9"/>
        <color indexed="8"/>
        <rFont val="Arial"/>
        <family val="2"/>
      </rPr>
      <t>cm</t>
    </r>
  </si>
  <si>
    <r>
      <t xml:space="preserve">Watt during steptest </t>
    </r>
    <r>
      <rPr>
        <sz val="5"/>
        <color indexed="8"/>
        <rFont val="Arial"/>
        <family val="2"/>
      </rPr>
      <t>(Cycletest fill in)</t>
    </r>
  </si>
  <si>
    <t>HR 1e min.</t>
  </si>
  <si>
    <t>HR 2e min</t>
  </si>
  <si>
    <t>HR 3e min</t>
  </si>
  <si>
    <t>HR 4e min</t>
  </si>
  <si>
    <t>HR 5e min</t>
  </si>
  <si>
    <t>HR 6e min</t>
  </si>
  <si>
    <t xml:space="preserve">PEF </t>
  </si>
  <si>
    <t>&gt; correction factor age 10 - 70 y  I Åstrand 1960</t>
  </si>
  <si>
    <t>Sportingclub / Employer</t>
  </si>
  <si>
    <t>Predicted max. heartrate    / measured max. heartrate</t>
  </si>
  <si>
    <t>HR rest before</t>
  </si>
  <si>
    <t>HR 1 min. rest after</t>
  </si>
  <si>
    <t>Employer</t>
  </si>
  <si>
    <t>Deze regels kunnen verwijderd worden!</t>
  </si>
  <si>
    <t>valid till</t>
  </si>
  <si>
    <t>Start with the medical history of the testperson.</t>
  </si>
  <si>
    <t xml:space="preserve">Filling in date of examination and date of birth (dd-mm-yyyy) gives the exact age, which the spreadsheet will use. </t>
  </si>
  <si>
    <t>Filling in weigth gives information about the effort during this test. For the Åstrandcycletest fill in yourself the effort in Watt, when the heartrate reaches 170-age.</t>
  </si>
  <si>
    <t>Place a heartrate monitor on chest in accordance with the instructions.</t>
  </si>
  <si>
    <t>Use a metronome for the timing, adjust at 90 counts a minute.</t>
  </si>
  <si>
    <t xml:space="preserve">A man has to step on a bench of 40 cm, a woman 33 cm. </t>
  </si>
  <si>
    <t>Changing the sex, (male &gt; m ,  female &gt; f ) the program will  change the effort of the steptest and calculate with the other step level.</t>
  </si>
  <si>
    <t>One foot on the bench, second foot on the bench,</t>
  </si>
  <si>
    <t>First foot down, second foot down, 90 steps per minute.</t>
  </si>
  <si>
    <t>After filling in the sixt minute you  automatically get the result. For the Åstrandcycletest "heartrate 1e minute" : when when the heartrate reaches 170-age.</t>
  </si>
  <si>
    <t>The course of the heartrates in numbers but still more in the graphics, provides extra information about the condition</t>
  </si>
  <si>
    <t>A low heartrate at rest, an early steady state, a low heartrate after exercise:  all signs of a good condition</t>
  </si>
  <si>
    <t>The sheet “diver” shows you the same, but also with predicted  longfunctions and the percentage predicted and real lungfunction, about weigth,</t>
  </si>
  <si>
    <t xml:space="preserve">the calculation of Body Mass Index and more information. </t>
  </si>
  <si>
    <r>
      <t xml:space="preserve">Some </t>
    </r>
    <r>
      <rPr>
        <b/>
        <sz val="10"/>
        <color indexed="18"/>
        <rFont val="Arial"/>
        <family val="2"/>
      </rPr>
      <t>blue</t>
    </r>
    <r>
      <rPr>
        <sz val="10"/>
        <rFont val="Arial"/>
        <family val="0"/>
      </rPr>
      <t xml:space="preserve"> cells like "predicted max. heartrate / measured max. heartrate" can be overwritten.</t>
    </r>
  </si>
  <si>
    <t>At the end this program gives a computerized advice. It is the reponsibiliy of the examiner to leave this advice, or to rewrite this advice.</t>
  </si>
  <si>
    <t>The advice has to be based on the total examination and the purpose.</t>
  </si>
  <si>
    <t>The spreadsheet is free to use, as long as you mention the source.</t>
  </si>
  <si>
    <t>Baarda Medische keuringen</t>
  </si>
  <si>
    <t>http://www.baardakeuringen.nl/</t>
  </si>
  <si>
    <r>
      <t xml:space="preserve">You can change all cells with </t>
    </r>
    <r>
      <rPr>
        <b/>
        <sz val="10"/>
        <color indexed="58"/>
        <rFont val="Arial"/>
        <family val="2"/>
      </rPr>
      <t xml:space="preserve"> green</t>
    </r>
    <r>
      <rPr>
        <sz val="10"/>
        <rFont val="Arial"/>
        <family val="0"/>
      </rPr>
      <t xml:space="preserve"> information, the cells in </t>
    </r>
    <r>
      <rPr>
        <b/>
        <sz val="10"/>
        <color indexed="18"/>
        <rFont val="Arial"/>
        <family val="2"/>
      </rPr>
      <t>blue</t>
    </r>
    <r>
      <rPr>
        <sz val="10"/>
        <rFont val="Arial"/>
        <family val="0"/>
      </rPr>
      <t xml:space="preserve"> are calculated by the computer.</t>
    </r>
  </si>
  <si>
    <r>
      <t xml:space="preserve">When all fields are filled in, you can print the spreadsheet including the graphics, or save the results on your pc with the command Save </t>
    </r>
    <r>
      <rPr>
        <u val="single"/>
        <sz val="10"/>
        <rFont val="Arial"/>
        <family val="2"/>
      </rPr>
      <t>As</t>
    </r>
  </si>
  <si>
    <r>
      <t xml:space="preserve">I find </t>
    </r>
    <r>
      <rPr>
        <b/>
        <sz val="10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defects that I consider incompatible with</t>
    </r>
  </si>
  <si>
    <t>2012 Goes Netherlands, C.M. Baarda MD, Baarda Medical Service</t>
  </si>
  <si>
    <t>hr/min (Åstrand /RBB)</t>
  </si>
  <si>
    <t>Power achieved max. test:</t>
  </si>
  <si>
    <t xml:space="preserve">  </t>
  </si>
  <si>
    <t>Watt</t>
  </si>
  <si>
    <t>ml/kg/min</t>
  </si>
  <si>
    <t>ml/kg/min.</t>
  </si>
  <si>
    <t>Max. test&gt;</t>
  </si>
  <si>
    <r>
      <t xml:space="preserve">I find </t>
    </r>
    <r>
      <rPr>
        <b/>
        <sz val="10"/>
        <rFont val="Arial"/>
        <family val="2"/>
      </rPr>
      <t>(no)</t>
    </r>
    <r>
      <rPr>
        <b/>
        <sz val="10"/>
        <color indexed="8"/>
        <rFont val="Arial"/>
        <family val="2"/>
      </rPr>
      <t xml:space="preserve"> defects that I consider incompatible with </t>
    </r>
  </si>
  <si>
    <t>Gender "m" or "f"</t>
  </si>
  <si>
    <r>
      <t>Maximal test   VO</t>
    </r>
    <r>
      <rPr>
        <vertAlign val="sub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        :</t>
    </r>
  </si>
  <si>
    <r>
      <t>For achieving VO</t>
    </r>
    <r>
      <rPr>
        <vertAlign val="sub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       &gt; </t>
    </r>
  </si>
  <si>
    <r>
      <t xml:space="preserve">HR rest </t>
    </r>
    <r>
      <rPr>
        <sz val="6"/>
        <color indexed="9"/>
        <rFont val="Arial"/>
        <family val="2"/>
      </rPr>
      <t>xxx</t>
    </r>
    <r>
      <rPr>
        <sz val="6"/>
        <color indexed="22"/>
        <rFont val="Arial"/>
        <family val="2"/>
      </rPr>
      <t xml:space="preserve"> </t>
    </r>
  </si>
  <si>
    <r>
      <t>Maximal test   VO</t>
    </r>
    <r>
      <rPr>
        <vertAlign val="sub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         :</t>
    </r>
  </si>
  <si>
    <r>
      <t>For achieving VO</t>
    </r>
    <r>
      <rPr>
        <vertAlign val="subscript"/>
        <sz val="10"/>
        <color indexed="23"/>
        <rFont val="Arial"/>
        <family val="2"/>
      </rPr>
      <t xml:space="preserve">2         </t>
    </r>
    <r>
      <rPr>
        <sz val="10"/>
        <color indexed="23"/>
        <rFont val="Arial"/>
        <family val="2"/>
      </rPr>
      <t xml:space="preserve">  &gt; </t>
    </r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</si>
</sst>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General_)"/>
    <numFmt numFmtId="171" formatCode="dd/mm/yy"/>
    <numFmt numFmtId="172" formatCode="0.0_)"/>
    <numFmt numFmtId="173" formatCode="0.0"/>
    <numFmt numFmtId="174" formatCode="0_)"/>
    <numFmt numFmtId="175" formatCode="0.00_)"/>
    <numFmt numFmtId="176" formatCode="&quot;F&quot;\ #,##0_-;&quot;F&quot;\ #,##0\-"/>
    <numFmt numFmtId="177" formatCode="&quot;F&quot;\ #,##0_-;[Red]&quot;F&quot;\ #,##0\-"/>
    <numFmt numFmtId="178" formatCode="&quot;F&quot;\ #,##0.00_-;&quot;F&quot;\ #,##0.00\-"/>
    <numFmt numFmtId="179" formatCode="&quot;F&quot;\ #,##0.00_-;[Red]&quot;F&quot;\ #,##0.00\-"/>
    <numFmt numFmtId="180" formatCode="_-&quot;F&quot;\ * #,##0_-;_-&quot;F&quot;\ * #,##0\-;_-&quot;F&quot;\ * &quot;-&quot;_-;_-@_-"/>
    <numFmt numFmtId="181" formatCode="_-&quot;F&quot;\ * #,##0.00_-;_-&quot;F&quot;\ * #,##0.00\-;_-&quot;F&quot;\ * &quot;-&quot;??_-;_-@_-"/>
    <numFmt numFmtId="182" formatCode=";;;"/>
    <numFmt numFmtId="183" formatCode="0.000_)"/>
    <numFmt numFmtId="184" formatCode="dd/mmmm/yy"/>
    <numFmt numFmtId="185" formatCode="0.0000"/>
    <numFmt numFmtId="186" formatCode="0.000"/>
    <numFmt numFmtId="187" formatCode="[$-413]d\ mmmm\ yyyy"/>
    <numFmt numFmtId="188" formatCode="0.0000000"/>
    <numFmt numFmtId="189" formatCode="0.000000"/>
    <numFmt numFmtId="190" formatCode="0.00000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Courier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Courier"/>
      <family val="3"/>
    </font>
    <font>
      <sz val="10"/>
      <color indexed="22"/>
      <name val="Arial"/>
      <family val="2"/>
    </font>
    <font>
      <sz val="10"/>
      <color indexed="55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55"/>
      <name val="Arial"/>
      <family val="2"/>
    </font>
    <font>
      <i/>
      <sz val="9"/>
      <color indexed="23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8"/>
      <name val="@Arial Unicode MS"/>
      <family val="2"/>
    </font>
    <font>
      <b/>
      <sz val="12"/>
      <color indexed="18"/>
      <name val="Arial"/>
      <family val="2"/>
    </font>
    <font>
      <u val="single"/>
      <sz val="9.1"/>
      <color indexed="12"/>
      <name val="Arial"/>
      <family val="0"/>
    </font>
    <font>
      <sz val="10"/>
      <color indexed="53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6"/>
      <name val="Arial"/>
      <family val="2"/>
    </font>
    <font>
      <sz val="5"/>
      <color indexed="8"/>
      <name val="Arial"/>
      <family val="2"/>
    </font>
    <font>
      <sz val="10"/>
      <color indexed="9"/>
      <name val="Courier"/>
      <family val="3"/>
    </font>
    <font>
      <b/>
      <i/>
      <sz val="10"/>
      <color indexed="22"/>
      <name val="Arial"/>
      <family val="2"/>
    </font>
    <font>
      <b/>
      <sz val="6"/>
      <color indexed="22"/>
      <name val="Arial"/>
      <family val="2"/>
    </font>
    <font>
      <b/>
      <sz val="10"/>
      <name val="Arial"/>
      <family val="2"/>
    </font>
    <font>
      <sz val="3.25"/>
      <name val="Arial"/>
      <family val="0"/>
    </font>
    <font>
      <sz val="10"/>
      <color indexed="10"/>
      <name val="Arial"/>
      <family val="2"/>
    </font>
    <font>
      <sz val="5"/>
      <name val="Arial"/>
      <family val="2"/>
    </font>
    <font>
      <b/>
      <sz val="10"/>
      <color indexed="5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6"/>
      <color indexed="55"/>
      <name val="Arial"/>
      <family val="2"/>
    </font>
    <font>
      <sz val="6"/>
      <color indexed="23"/>
      <name val="Courier"/>
      <family val="3"/>
    </font>
    <font>
      <sz val="6"/>
      <color indexed="23"/>
      <name val="Arial"/>
      <family val="2"/>
    </font>
    <font>
      <sz val="8"/>
      <color indexed="23"/>
      <name val="Arial"/>
      <family val="2"/>
    </font>
    <font>
      <vertAlign val="subscript"/>
      <sz val="10"/>
      <color indexed="23"/>
      <name val="Arial"/>
      <family val="2"/>
    </font>
    <font>
      <sz val="3.5"/>
      <name val="Arial"/>
      <family val="0"/>
    </font>
    <font>
      <sz val="4.5"/>
      <name val="Arial"/>
      <family val="0"/>
    </font>
    <font>
      <sz val="4"/>
      <name val="Arial"/>
      <family val="2"/>
    </font>
    <font>
      <sz val="6"/>
      <color indexed="22"/>
      <name val="Arial"/>
      <family val="2"/>
    </font>
    <font>
      <sz val="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 applyProtection="1">
      <alignment horizontal="left"/>
      <protection locked="0"/>
    </xf>
    <xf numFmtId="170" fontId="6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170" fontId="8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70" fontId="1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170" fontId="18" fillId="0" borderId="0" xfId="17" applyNumberFormat="1" applyFont="1" applyAlignment="1" applyProtection="1">
      <alignment horizontal="left"/>
      <protection locked="0"/>
    </xf>
    <xf numFmtId="171" fontId="3" fillId="0" borderId="0" xfId="0" applyNumberFormat="1" applyFont="1" applyAlignment="1" applyProtection="1">
      <alignment/>
      <protection locked="0"/>
    </xf>
    <xf numFmtId="174" fontId="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170" fontId="21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75" fontId="3" fillId="0" borderId="0" xfId="0" applyNumberFormat="1" applyFont="1" applyAlignment="1" applyProtection="1">
      <alignment/>
      <protection locked="0"/>
    </xf>
    <xf numFmtId="170" fontId="27" fillId="0" borderId="0" xfId="0" applyNumberFormat="1" applyFont="1" applyAlignment="1" applyProtection="1">
      <alignment horizontal="left"/>
      <protection locked="0"/>
    </xf>
    <xf numFmtId="182" fontId="3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 applyProtection="1">
      <alignment horizontal="left"/>
      <protection locked="0"/>
    </xf>
    <xf numFmtId="170" fontId="16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82" fontId="32" fillId="0" borderId="0" xfId="0" applyNumberFormat="1" applyFont="1" applyFill="1" applyAlignment="1" applyProtection="1">
      <alignment/>
      <protection locked="0"/>
    </xf>
    <xf numFmtId="170" fontId="12" fillId="0" borderId="0" xfId="0" applyNumberFormat="1" applyFont="1" applyAlignment="1" applyProtection="1">
      <alignment horizontal="left"/>
      <protection/>
    </xf>
    <xf numFmtId="174" fontId="16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/>
      <protection locked="0"/>
    </xf>
    <xf numFmtId="1" fontId="34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/>
      <protection locked="0"/>
    </xf>
    <xf numFmtId="182" fontId="11" fillId="0" borderId="0" xfId="0" applyNumberFormat="1" applyFont="1" applyFill="1" applyAlignment="1" applyProtection="1">
      <alignment/>
      <protection locked="0"/>
    </xf>
    <xf numFmtId="170" fontId="28" fillId="0" borderId="0" xfId="0" applyNumberFormat="1" applyFont="1" applyAlignment="1" applyProtection="1">
      <alignment horizontal="left"/>
      <protection locked="0"/>
    </xf>
    <xf numFmtId="170" fontId="35" fillId="0" borderId="0" xfId="0" applyNumberFormat="1" applyFont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18" fillId="0" borderId="0" xfId="16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1" fontId="2" fillId="0" borderId="0" xfId="0" applyNumberFormat="1" applyFont="1" applyAlignment="1" applyProtection="1">
      <alignment horizontal="left"/>
      <protection locked="0"/>
    </xf>
    <xf numFmtId="1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0" fontId="1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2" fontId="3" fillId="0" borderId="0" xfId="0" applyNumberFormat="1" applyFont="1" applyAlignment="1" applyProtection="1">
      <alignment/>
      <protection locked="0"/>
    </xf>
    <xf numFmtId="170" fontId="26" fillId="2" borderId="0" xfId="0" applyNumberFormat="1" applyFont="1" applyFill="1" applyAlignment="1" applyProtection="1">
      <alignment horizontal="left"/>
      <protection locked="0"/>
    </xf>
    <xf numFmtId="173" fontId="2" fillId="0" borderId="0" xfId="0" applyNumberFormat="1" applyFont="1" applyAlignment="1" applyProtection="1">
      <alignment horizontal="right"/>
      <protection locked="0"/>
    </xf>
    <xf numFmtId="174" fontId="7" fillId="0" borderId="0" xfId="0" applyNumberFormat="1" applyFont="1" applyAlignment="1" applyProtection="1">
      <alignment/>
      <protection locked="0"/>
    </xf>
    <xf numFmtId="170" fontId="19" fillId="0" borderId="0" xfId="0" applyNumberFormat="1" applyFont="1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 locked="0"/>
    </xf>
    <xf numFmtId="170" fontId="0" fillId="3" borderId="0" xfId="0" applyNumberFormat="1" applyFont="1" applyFill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9" fontId="12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 applyProtection="1">
      <alignment/>
      <protection/>
    </xf>
    <xf numFmtId="182" fontId="43" fillId="0" borderId="0" xfId="0" applyNumberFormat="1" applyFont="1" applyFill="1" applyAlignment="1" applyProtection="1">
      <alignment/>
      <protection locked="0"/>
    </xf>
    <xf numFmtId="2" fontId="44" fillId="0" borderId="0" xfId="0" applyNumberFormat="1" applyFont="1" applyAlignment="1" applyProtection="1">
      <alignment horizontal="left"/>
      <protection/>
    </xf>
    <xf numFmtId="2" fontId="44" fillId="0" borderId="0" xfId="0" applyNumberFormat="1" applyFont="1" applyAlignment="1" applyProtection="1">
      <alignment horizontal="left"/>
      <protection locked="0"/>
    </xf>
    <xf numFmtId="170" fontId="42" fillId="0" borderId="0" xfId="0" applyNumberFormat="1" applyFont="1" applyAlignment="1" applyProtection="1">
      <alignment horizontal="left"/>
      <protection locked="0"/>
    </xf>
    <xf numFmtId="170" fontId="44" fillId="0" borderId="0" xfId="0" applyNumberFormat="1" applyFont="1" applyAlignment="1" applyProtection="1">
      <alignment horizontal="left"/>
      <protection locked="0"/>
    </xf>
    <xf numFmtId="1" fontId="44" fillId="0" borderId="0" xfId="0" applyNumberFormat="1" applyFont="1" applyAlignment="1" applyProtection="1">
      <alignment horizontal="right"/>
      <protection locked="0"/>
    </xf>
    <xf numFmtId="2" fontId="28" fillId="0" borderId="0" xfId="0" applyNumberFormat="1" applyFont="1" applyAlignment="1" applyProtection="1">
      <alignment horizontal="left"/>
      <protection locked="0"/>
    </xf>
    <xf numFmtId="170" fontId="28" fillId="0" borderId="0" xfId="0" applyNumberFormat="1" applyFont="1" applyAlignment="1" applyProtection="1">
      <alignment/>
      <protection locked="0"/>
    </xf>
    <xf numFmtId="170" fontId="28" fillId="0" borderId="0" xfId="0" applyNumberFormat="1" applyFont="1" applyAlignment="1" applyProtection="1">
      <alignment horizontal="right"/>
      <protection locked="0"/>
    </xf>
    <xf numFmtId="170" fontId="50" fillId="0" borderId="0" xfId="0" applyNumberFormat="1" applyFont="1" applyAlignment="1" applyProtection="1">
      <alignment horizontal="right"/>
      <protection locked="0"/>
    </xf>
    <xf numFmtId="170" fontId="37" fillId="2" borderId="0" xfId="0" applyNumberFormat="1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" fontId="28" fillId="0" borderId="0" xfId="0" applyNumberFormat="1" applyFont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170" fontId="15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</cellXfs>
  <cellStyles count="9">
    <cellStyle name="Normal" xfId="0"/>
    <cellStyle name="Followed Hyperlink" xfId="15"/>
    <cellStyle name="Hyperlink" xfId="16"/>
    <cellStyle name="Hyperlink_1MetGrafiek0509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75"/>
          <c:h val="1"/>
        </c:manualLayout>
      </c:layout>
      <c:lineChart>
        <c:grouping val="standard"/>
        <c:varyColors val="0"/>
        <c:ser>
          <c:idx val="0"/>
          <c:order val="0"/>
          <c:tx>
            <c:v>Max. Heartrate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'Step Weight'!$P$11:$P$18</c:f>
              <c:strCache>
                <c:ptCount val="8"/>
                <c:pt idx="0">
                  <c:v>HR rest xxx 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Weight'!$R$11:$R$18</c:f>
              <c:numCach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Upperlimit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'Step Weight'!$P$11:$P$18</c:f>
              <c:strCache>
                <c:ptCount val="8"/>
                <c:pt idx="0">
                  <c:v>HR rest xxx 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Weight'!$T$11:$T$18</c:f>
              <c:numCach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Measured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'Step Weight'!$P$11:$P$18</c:f>
              <c:strCache>
                <c:ptCount val="8"/>
                <c:pt idx="0">
                  <c:v>HR rest xxx 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Weight'!$Q$11:$Q$18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Sublimit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strRef>
              <c:f>'Step Weight'!$P$11:$P$18</c:f>
              <c:strCache>
                <c:ptCount val="8"/>
                <c:pt idx="0">
                  <c:v>HR rest xxx 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Weight'!$S$11:$S$18</c:f>
              <c:numCache>
                <c:ptCount val="8"/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6245"/>
          <c:w val="0.418"/>
          <c:h val="0.22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25"/>
          <c:h val="1"/>
        </c:manualLayout>
      </c:layout>
      <c:lineChart>
        <c:grouping val="standard"/>
        <c:varyColors val="0"/>
        <c:ser>
          <c:idx val="0"/>
          <c:order val="0"/>
          <c:tx>
            <c:v>Max. Heartrate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'Step Cycle Diver &amp; '!$P$9:$P$16</c:f>
              <c:strCache>
                <c:ptCount val="8"/>
                <c:pt idx="0">
                  <c:v>HR rest before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Cycle Diver &amp; '!$R$9:$R$16</c:f>
              <c:numCach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Upperlimit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'Step Cycle Diver &amp; '!$P$9:$P$16</c:f>
              <c:strCache>
                <c:ptCount val="8"/>
                <c:pt idx="0">
                  <c:v>HR rest before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Cycle Diver &amp; '!$T$9:$T$16</c:f>
              <c:numCach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Measured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'Step Cycle Diver &amp; '!$P$9:$P$16</c:f>
              <c:strCache>
                <c:ptCount val="8"/>
                <c:pt idx="0">
                  <c:v>HR rest before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Cycle Diver &amp; '!$Q$9:$Q$16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Sublimit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strRef>
              <c:f>'Step Cycle Diver &amp; '!$P$9:$P$16</c:f>
              <c:strCache>
                <c:ptCount val="8"/>
                <c:pt idx="0">
                  <c:v>HR rest before</c:v>
                </c:pt>
                <c:pt idx="1">
                  <c:v>HR 1e min.</c:v>
                </c:pt>
                <c:pt idx="2">
                  <c:v>HR 2e min</c:v>
                </c:pt>
                <c:pt idx="3">
                  <c:v>HR 3e min</c:v>
                </c:pt>
                <c:pt idx="4">
                  <c:v>HR 4e min</c:v>
                </c:pt>
                <c:pt idx="5">
                  <c:v>HR 5e min</c:v>
                </c:pt>
                <c:pt idx="6">
                  <c:v>HR 6e min</c:v>
                </c:pt>
                <c:pt idx="7">
                  <c:v>HR 1 min. rest after</c:v>
                </c:pt>
              </c:strCache>
            </c:strRef>
          </c:cat>
          <c:val>
            <c:numRef>
              <c:f>'Step Cycle Diver &amp; '!$S$9:$S$16</c:f>
              <c:numCache>
                <c:ptCount val="8"/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75"/>
          <c:y val="0.60325"/>
          <c:w val="0.3655"/>
          <c:h val="0.238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33</xdr:row>
      <xdr:rowOff>57150</xdr:rowOff>
    </xdr:from>
    <xdr:to>
      <xdr:col>6</xdr:col>
      <xdr:colOff>180975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3486150" y="5476875"/>
        <a:ext cx="208597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42</xdr:row>
      <xdr:rowOff>142875</xdr:rowOff>
    </xdr:from>
    <xdr:to>
      <xdr:col>8</xdr:col>
      <xdr:colOff>142875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3743325" y="6848475"/>
        <a:ext cx="22574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epMax%20test\Scheep\selectie\1ShipOffstepDemoVerstuurd4%20en%201DiveOff%20Reser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test base"/>
      <sheetName val="Step Eng "/>
      <sheetName val="steptest &amp; graphic"/>
      <sheetName val="diver"/>
      <sheetName val="Diver Oud"/>
      <sheetName val="short instruction"/>
      <sheetName val="Lit. Step"/>
      <sheetName val="Lit. di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ardakeuringen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ardakeuringen.n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ardakeuringen.nl/" TargetMode="External" /><Relationship Id="rId2" Type="http://schemas.openxmlformats.org/officeDocument/2006/relationships/hyperlink" Target="http://www.baarda-medische-keuringen.nl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tabSelected="1" workbookViewId="0" topLeftCell="A7">
      <selection activeCell="B10" sqref="B10"/>
    </sheetView>
  </sheetViews>
  <sheetFormatPr defaultColWidth="9.140625" defaultRowHeight="12.75"/>
  <cols>
    <col min="1" max="1" width="23.140625" style="5" customWidth="1"/>
    <col min="2" max="2" width="10.00390625" style="4" customWidth="1"/>
    <col min="3" max="3" width="8.28125" style="0" customWidth="1"/>
    <col min="4" max="4" width="23.7109375" style="5" customWidth="1"/>
    <col min="5" max="5" width="8.140625" style="6" customWidth="1"/>
    <col min="6" max="6" width="7.57421875" style="6" customWidth="1"/>
    <col min="7" max="7" width="7.28125" style="0" customWidth="1"/>
    <col min="8" max="8" width="0.13671875" style="0" hidden="1" customWidth="1"/>
    <col min="9" max="9" width="5.8515625" style="0" customWidth="1"/>
    <col min="10" max="10" width="11.7109375" style="0" customWidth="1"/>
    <col min="11" max="11" width="3.421875" style="0" customWidth="1"/>
    <col min="12" max="12" width="4.140625" style="0" customWidth="1"/>
    <col min="13" max="13" width="7.28125" style="0" customWidth="1"/>
    <col min="14" max="14" width="8.00390625" style="0" customWidth="1"/>
    <col min="15" max="15" width="3.7109375" style="0" customWidth="1"/>
    <col min="16" max="16" width="12.140625" style="0" customWidth="1"/>
    <col min="17" max="17" width="8.00390625" style="0" customWidth="1"/>
    <col min="18" max="18" width="7.8515625" style="0" customWidth="1"/>
    <col min="19" max="19" width="6.57421875" style="0" customWidth="1"/>
    <col min="20" max="20" width="7.00390625" style="0" customWidth="1"/>
  </cols>
  <sheetData>
    <row r="1" spans="1:17" ht="12.75">
      <c r="A1" s="15"/>
      <c r="B1" s="14"/>
      <c r="C1" s="45"/>
      <c r="D1" s="15"/>
      <c r="E1" s="46"/>
      <c r="F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>
      <c r="A2" s="47"/>
      <c r="B2" s="14"/>
      <c r="C2" s="18"/>
      <c r="D2" s="15"/>
      <c r="E2" s="46"/>
      <c r="F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>
      <c r="A3" s="47"/>
      <c r="B3" s="14"/>
      <c r="C3" s="19"/>
      <c r="D3" s="15"/>
      <c r="E3" s="46"/>
      <c r="F3" s="4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">
      <c r="A4" s="47"/>
      <c r="B4" s="14"/>
      <c r="C4" s="45"/>
      <c r="D4" s="15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">
      <c r="A5" s="47"/>
      <c r="B5" s="14"/>
      <c r="C5" s="45"/>
      <c r="D5" s="15"/>
      <c r="E5" s="46"/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2.75">
      <c r="A6" s="15"/>
      <c r="B6" s="14"/>
      <c r="C6" s="45"/>
      <c r="D6" s="15"/>
      <c r="E6" s="46"/>
      <c r="F6" s="4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2.75">
      <c r="A7" s="15"/>
      <c r="B7" s="14"/>
      <c r="C7" s="45"/>
      <c r="D7" s="15"/>
      <c r="E7" s="46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2.75">
      <c r="A8" s="19"/>
      <c r="B8" s="14"/>
      <c r="C8" s="45"/>
      <c r="D8" s="15"/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2.75">
      <c r="A9" s="1"/>
      <c r="B9" s="7"/>
      <c r="C9" s="50"/>
      <c r="D9" s="3"/>
      <c r="E9" s="46"/>
      <c r="F9" s="46"/>
      <c r="G9" s="50"/>
      <c r="H9" s="50"/>
      <c r="I9" s="50"/>
      <c r="J9" s="50"/>
      <c r="K9" s="50"/>
      <c r="L9" s="50"/>
      <c r="M9" s="45"/>
      <c r="N9" s="45"/>
      <c r="O9" s="45"/>
      <c r="P9" s="45"/>
      <c r="Q9" s="45"/>
    </row>
    <row r="10" spans="1:17" ht="12.75">
      <c r="A10" s="1" t="s">
        <v>8</v>
      </c>
      <c r="B10" s="48" t="s">
        <v>0</v>
      </c>
      <c r="C10" s="49"/>
      <c r="D10" s="1" t="s">
        <v>9</v>
      </c>
      <c r="E10" s="20">
        <f ca="1">NOW()</f>
        <v>41518.80855115741</v>
      </c>
      <c r="F10" s="2"/>
      <c r="G10" s="8"/>
      <c r="H10" s="50"/>
      <c r="I10" s="50"/>
      <c r="J10" s="50"/>
      <c r="K10" s="50"/>
      <c r="L10" s="50"/>
      <c r="M10" s="45"/>
      <c r="N10" s="45"/>
      <c r="O10" s="45"/>
      <c r="P10" s="45"/>
      <c r="Q10" s="45"/>
    </row>
    <row r="11" spans="1:17" s="16" customFormat="1" ht="12.7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5" t="s">
        <v>103</v>
      </c>
      <c r="Q11" s="1" t="str">
        <f aca="true" t="shared" si="0" ref="Q11:Q18">B22</f>
        <v> </v>
      </c>
    </row>
    <row r="12" spans="1:20" s="16" customFormat="1" ht="12.75">
      <c r="A12" s="1" t="s">
        <v>10</v>
      </c>
      <c r="B12" s="1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5" t="s">
        <v>53</v>
      </c>
      <c r="Q12" s="1" t="str">
        <f t="shared" si="0"/>
        <v> </v>
      </c>
      <c r="R12" s="35" t="e">
        <f aca="true" t="shared" si="1" ref="R12:R17">hartfm</f>
        <v>#VALUE!</v>
      </c>
      <c r="T12" s="35" t="e">
        <f aca="true" t="shared" si="2" ref="T12:T17">hartfm-20</f>
        <v>#VALUE!</v>
      </c>
    </row>
    <row r="13" spans="1:20" ht="12.75">
      <c r="A13" s="1" t="s">
        <v>11</v>
      </c>
      <c r="B13" s="48" t="s">
        <v>0</v>
      </c>
      <c r="C13" s="50"/>
      <c r="D13" s="1" t="s">
        <v>42</v>
      </c>
      <c r="E13" s="53" t="e">
        <f>(onderzoek-geboorte)/365.25</f>
        <v>#VALUE!</v>
      </c>
      <c r="F13" s="2"/>
      <c r="G13" s="54" t="e">
        <f>IF(lft&lt;10,"Åstrand corrf. Age 10 - 70 y",(IF(lft&lt;70.1,,"Åstrand corrf. Age 10 - 70 y")))</f>
        <v>#VALUE!</v>
      </c>
      <c r="H13" s="50"/>
      <c r="I13" s="45"/>
      <c r="J13" s="50"/>
      <c r="K13" s="50"/>
      <c r="L13" s="50"/>
      <c r="M13" s="45"/>
      <c r="N13" s="45"/>
      <c r="O13" s="45"/>
      <c r="P13" s="85" t="s">
        <v>54</v>
      </c>
      <c r="Q13" s="92" t="str">
        <f t="shared" si="0"/>
        <v> </v>
      </c>
      <c r="R13" s="35" t="e">
        <f t="shared" si="1"/>
        <v>#VALUE!</v>
      </c>
      <c r="S13" s="35"/>
      <c r="T13" s="35" t="e">
        <f t="shared" si="2"/>
        <v>#VALUE!</v>
      </c>
    </row>
    <row r="14" spans="1:20" ht="12.75">
      <c r="A14" s="1" t="s">
        <v>100</v>
      </c>
      <c r="B14" s="14" t="s">
        <v>4</v>
      </c>
      <c r="C14" s="50"/>
      <c r="D14" s="3"/>
      <c r="E14" s="2"/>
      <c r="F14" s="2"/>
      <c r="G14" s="8"/>
      <c r="H14" s="50"/>
      <c r="I14" s="23"/>
      <c r="J14" s="50"/>
      <c r="K14" s="50"/>
      <c r="L14" s="50"/>
      <c r="M14" s="45"/>
      <c r="N14" s="45"/>
      <c r="O14" s="45"/>
      <c r="P14" s="85" t="s">
        <v>55</v>
      </c>
      <c r="Q14" s="92" t="str">
        <f t="shared" si="0"/>
        <v> </v>
      </c>
      <c r="R14" s="35" t="e">
        <f t="shared" si="1"/>
        <v>#VALUE!</v>
      </c>
      <c r="S14" s="35"/>
      <c r="T14" s="35" t="e">
        <f t="shared" si="2"/>
        <v>#VALUE!</v>
      </c>
    </row>
    <row r="15" spans="1:20" ht="12.75">
      <c r="A15" s="1" t="s">
        <v>39</v>
      </c>
      <c r="B15" s="14" t="s">
        <v>0</v>
      </c>
      <c r="C15" s="50"/>
      <c r="D15" s="1" t="s">
        <v>43</v>
      </c>
      <c r="E15" s="24" t="e">
        <f>gewicht*10000/(lengte*lengte)</f>
        <v>#VALUE!</v>
      </c>
      <c r="F15" s="45"/>
      <c r="G15" s="8"/>
      <c r="H15" s="50"/>
      <c r="I15" s="50"/>
      <c r="J15" s="50"/>
      <c r="K15" s="50"/>
      <c r="L15" s="50"/>
      <c r="M15" s="45"/>
      <c r="N15" s="45"/>
      <c r="O15" s="45"/>
      <c r="P15" s="85" t="s">
        <v>56</v>
      </c>
      <c r="Q15" s="92" t="str">
        <f t="shared" si="0"/>
        <v> </v>
      </c>
      <c r="R15" s="35" t="e">
        <f t="shared" si="1"/>
        <v>#VALUE!</v>
      </c>
      <c r="S15" s="35"/>
      <c r="T15" s="35" t="e">
        <f t="shared" si="2"/>
        <v>#VALUE!</v>
      </c>
    </row>
    <row r="16" spans="1:20" ht="12.75">
      <c r="A16" s="1" t="s">
        <v>40</v>
      </c>
      <c r="B16" s="14" t="s">
        <v>0</v>
      </c>
      <c r="C16" s="50"/>
      <c r="D16" s="1" t="s">
        <v>44</v>
      </c>
      <c r="E16" s="21" t="e">
        <f>-(25*(lengte*lengte)/10000-gewicht)</f>
        <v>#VALUE!</v>
      </c>
      <c r="F16" s="21" t="e">
        <f>-(27*(lengte*lengte)/10000-gewicht)</f>
        <v>#VALUE!</v>
      </c>
      <c r="G16" s="8"/>
      <c r="H16" s="50"/>
      <c r="I16" s="50"/>
      <c r="J16" s="50"/>
      <c r="K16" s="50"/>
      <c r="L16" s="50"/>
      <c r="M16" s="45"/>
      <c r="N16" s="45"/>
      <c r="O16" s="45"/>
      <c r="P16" s="85" t="s">
        <v>57</v>
      </c>
      <c r="Q16" s="92" t="str">
        <f t="shared" si="0"/>
        <v> </v>
      </c>
      <c r="R16" s="35" t="e">
        <f t="shared" si="1"/>
        <v>#VALUE!</v>
      </c>
      <c r="S16" s="35" t="e">
        <f>hartfm-70</f>
        <v>#VALUE!</v>
      </c>
      <c r="T16" s="35" t="e">
        <f t="shared" si="2"/>
        <v>#VALUE!</v>
      </c>
    </row>
    <row r="17" spans="1:20" ht="12.75">
      <c r="A17" s="1" t="s">
        <v>41</v>
      </c>
      <c r="B17" s="14" t="s">
        <v>0</v>
      </c>
      <c r="C17" s="50"/>
      <c r="D17" s="1" t="s">
        <v>23</v>
      </c>
      <c r="E17" s="25" t="e">
        <f>middel/heup</f>
        <v>#VALUE!</v>
      </c>
      <c r="F17" s="25">
        <f>IF(OR(geslacht="m",geslacht="man"),0.9,0.8)</f>
        <v>0.9</v>
      </c>
      <c r="G17" s="8"/>
      <c r="H17" s="50"/>
      <c r="I17" s="50"/>
      <c r="J17" s="50"/>
      <c r="K17" s="50"/>
      <c r="L17" s="50"/>
      <c r="M17" s="45"/>
      <c r="N17" s="45"/>
      <c r="O17" s="45"/>
      <c r="P17" s="85" t="s">
        <v>58</v>
      </c>
      <c r="Q17" s="92">
        <f t="shared" si="0"/>
        <v>0</v>
      </c>
      <c r="R17" s="35" t="e">
        <f t="shared" si="1"/>
        <v>#VALUE!</v>
      </c>
      <c r="S17" s="35" t="e">
        <f>hartfm-70</f>
        <v>#VALUE!</v>
      </c>
      <c r="T17" s="35" t="e">
        <f t="shared" si="2"/>
        <v>#VALUE!</v>
      </c>
    </row>
    <row r="18" spans="1:20" ht="12.75">
      <c r="A18" s="1" t="s">
        <v>51</v>
      </c>
      <c r="B18" s="14" t="s">
        <v>0</v>
      </c>
      <c r="C18" s="50"/>
      <c r="D18" s="1"/>
      <c r="E18" s="21"/>
      <c r="F18" s="21"/>
      <c r="G18" s="8"/>
      <c r="H18" s="50"/>
      <c r="I18" s="50"/>
      <c r="J18" s="50"/>
      <c r="K18" s="50"/>
      <c r="L18" s="50"/>
      <c r="M18" s="45"/>
      <c r="N18" s="45"/>
      <c r="O18" s="45"/>
      <c r="P18" s="85" t="s">
        <v>64</v>
      </c>
      <c r="Q18" s="92" t="str">
        <f t="shared" si="0"/>
        <v> </v>
      </c>
      <c r="R18" s="34"/>
      <c r="S18" s="35"/>
      <c r="T18" s="35"/>
    </row>
    <row r="19" spans="1:17" ht="9.75" customHeight="1">
      <c r="A19" s="3"/>
      <c r="B19" s="14"/>
      <c r="C19" s="50"/>
      <c r="D19" s="45"/>
      <c r="E19" s="45"/>
      <c r="F19" s="45"/>
      <c r="G19" s="8"/>
      <c r="H19" s="50"/>
      <c r="I19" s="50"/>
      <c r="J19" s="50"/>
      <c r="K19" s="50"/>
      <c r="L19" s="50"/>
      <c r="M19" s="45"/>
      <c r="N19" s="45"/>
      <c r="O19" s="45"/>
      <c r="P19" s="45"/>
      <c r="Q19" s="45"/>
    </row>
    <row r="20" spans="1:17" ht="12.75" customHeight="1">
      <c r="A20" s="1" t="s">
        <v>31</v>
      </c>
      <c r="B20" s="14" t="s">
        <v>0</v>
      </c>
      <c r="C20" s="50"/>
      <c r="D20" s="45"/>
      <c r="E20" s="45"/>
      <c r="F20" s="45"/>
      <c r="G20" s="8"/>
      <c r="H20" s="50"/>
      <c r="I20" s="50"/>
      <c r="J20" s="50"/>
      <c r="K20" s="50"/>
      <c r="L20" s="50"/>
      <c r="M20" s="45"/>
      <c r="N20" s="45"/>
      <c r="O20" s="45"/>
      <c r="P20" s="45"/>
      <c r="Q20" s="45"/>
    </row>
    <row r="21" spans="1:17" ht="12.75">
      <c r="A21" s="1" t="s">
        <v>37</v>
      </c>
      <c r="B21" s="14"/>
      <c r="C21" s="50"/>
      <c r="D21" s="1" t="s">
        <v>12</v>
      </c>
      <c r="E21" s="65">
        <f>22.5*4</f>
        <v>90</v>
      </c>
      <c r="F21" s="46"/>
      <c r="G21" s="50"/>
      <c r="H21" s="50"/>
      <c r="I21" s="50"/>
      <c r="J21" s="50"/>
      <c r="K21" s="50"/>
      <c r="L21" s="50"/>
      <c r="M21" s="45"/>
      <c r="N21" s="45"/>
      <c r="O21" s="45"/>
      <c r="P21" s="45"/>
      <c r="Q21" s="45"/>
    </row>
    <row r="22" spans="1:17" ht="12.75">
      <c r="A22" s="1" t="s">
        <v>13</v>
      </c>
      <c r="B22" s="14" t="s">
        <v>0</v>
      </c>
      <c r="C22" s="50"/>
      <c r="D22" s="45"/>
      <c r="E22" s="45"/>
      <c r="F22" s="46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1" t="s">
        <v>14</v>
      </c>
      <c r="B23" s="14" t="s">
        <v>0</v>
      </c>
      <c r="C23" s="50"/>
      <c r="D23" s="1" t="s">
        <v>52</v>
      </c>
      <c r="E23" s="21" t="e">
        <f>IF(OR(geslacht="m",geslacht="man"),wattm,wattv)</f>
        <v>#VALUE!</v>
      </c>
      <c r="F23" s="32" t="e">
        <f>IF(gewicht&lt;69.49,gewicht*50/20.1-22.9,gewicht*50/24.666+9.2)</f>
        <v>#VALUE!</v>
      </c>
      <c r="G23" s="32" t="e">
        <f>gewicht*2.076-21.26</f>
        <v>#VALUE!</v>
      </c>
      <c r="H23" s="45"/>
      <c r="I23" s="77" t="e">
        <f>IF(220-hartfm&lt;45,1.217142-0.34/35*(220-hartfm),(IF(220-hartfm&lt;75,1.086-0.17/25*(220-hartfm),"X")))</f>
        <v>#VALUE!</v>
      </c>
      <c r="J23" s="78" t="s">
        <v>60</v>
      </c>
      <c r="K23" s="88"/>
      <c r="L23" s="78"/>
      <c r="M23" s="88"/>
      <c r="N23" s="88"/>
      <c r="O23" s="45"/>
      <c r="P23" s="45"/>
      <c r="Q23" s="45"/>
    </row>
    <row r="24" spans="1:17" ht="12.75">
      <c r="A24" s="1" t="s">
        <v>15</v>
      </c>
      <c r="B24" s="14" t="s">
        <v>0</v>
      </c>
      <c r="C24" s="50"/>
      <c r="D24" s="1" t="s">
        <v>62</v>
      </c>
      <c r="E24" s="21" t="e">
        <f>220-lft</f>
        <v>#VALUE!</v>
      </c>
      <c r="F24" s="46"/>
      <c r="G24" s="26"/>
      <c r="H24" s="45"/>
      <c r="I24" s="80" t="s">
        <v>47</v>
      </c>
      <c r="J24" s="80"/>
      <c r="K24" s="81" t="e">
        <f>150-lft</f>
        <v>#VALUE!</v>
      </c>
      <c r="L24" s="81" t="e">
        <f>200-lft</f>
        <v>#VALUE!</v>
      </c>
      <c r="M24" s="78" t="s">
        <v>92</v>
      </c>
      <c r="N24" s="88"/>
      <c r="O24" s="45"/>
      <c r="P24" s="45"/>
      <c r="Q24" s="45"/>
    </row>
    <row r="25" spans="1:17" ht="12.75">
      <c r="A25" s="1" t="s">
        <v>16</v>
      </c>
      <c r="B25" s="14" t="s">
        <v>0</v>
      </c>
      <c r="C25" s="50"/>
      <c r="D25" s="1" t="s">
        <v>17</v>
      </c>
      <c r="E25" s="21" t="e">
        <f>(vo2m*gewicht*0.001+0.35)/0.0136</f>
        <v>#VALUE!</v>
      </c>
      <c r="F25" s="27" t="e">
        <f>IF(OR(geslacht="m",geslacht="man"),(174.2*watt+4020)*1/(103.2*hartf-6299),(163.8*watt+3780)*1/(104.4*hartf-7514))</f>
        <v>#VALUE!</v>
      </c>
      <c r="G25" s="8"/>
      <c r="H25" s="50"/>
      <c r="I25" s="41" t="s">
        <v>93</v>
      </c>
      <c r="J25" s="89"/>
      <c r="K25" s="89"/>
      <c r="L25" s="89" t="s">
        <v>94</v>
      </c>
      <c r="M25" s="89" t="s">
        <v>95</v>
      </c>
      <c r="N25" s="89"/>
      <c r="O25" s="45"/>
      <c r="P25" s="45"/>
      <c r="Q25" s="45"/>
    </row>
    <row r="26" spans="1:17" ht="12.75">
      <c r="A26" s="1" t="s">
        <v>18</v>
      </c>
      <c r="B26" s="14" t="s">
        <v>0</v>
      </c>
      <c r="C26" s="50"/>
      <c r="D26" s="45"/>
      <c r="E26" s="45"/>
      <c r="F26" s="45"/>
      <c r="G26" s="8"/>
      <c r="H26" s="50"/>
      <c r="I26" s="89"/>
      <c r="J26" s="89"/>
      <c r="K26" s="89"/>
      <c r="L26" s="90"/>
      <c r="M26" s="89"/>
      <c r="N26" s="89"/>
      <c r="O26" s="45"/>
      <c r="P26" s="45"/>
      <c r="Q26" s="45"/>
    </row>
    <row r="27" spans="1:17" ht="12.75" customHeight="1">
      <c r="A27" s="1" t="s">
        <v>19</v>
      </c>
      <c r="B27" s="14" t="s">
        <v>0</v>
      </c>
      <c r="C27" s="50"/>
      <c r="D27" s="15"/>
      <c r="E27" s="46"/>
      <c r="F27" s="46"/>
      <c r="G27" s="8"/>
      <c r="H27" s="50"/>
      <c r="I27" s="89"/>
      <c r="J27" s="89"/>
      <c r="K27" s="89"/>
      <c r="L27" s="90"/>
      <c r="M27" s="89"/>
      <c r="N27" s="89"/>
      <c r="O27" s="45"/>
      <c r="P27" s="45"/>
      <c r="Q27" s="45"/>
    </row>
    <row r="28" spans="1:17" ht="12.75" customHeight="1">
      <c r="A28" s="1" t="s">
        <v>48</v>
      </c>
      <c r="B28" s="14">
        <v>0</v>
      </c>
      <c r="C28" s="56" t="str">
        <f>IF(hartf6=0,hartf5,(hartf5+hartf6)/2)</f>
        <v> </v>
      </c>
      <c r="D28" s="1" t="s">
        <v>22</v>
      </c>
      <c r="E28" s="2" t="e">
        <f>IF(lft&lt;35,35,(IF(lft&lt;40,31,(IF(lft&lt;45,29,(IF(lft&lt;50,27,26)))))))</f>
        <v>#VALUE!</v>
      </c>
      <c r="F28" s="2" t="e">
        <f>IF(lft&lt;35,40,(IF(lft&lt;40,35,(IF(lft&lt;45,33,(IF(lft&lt;50,31,30)))))))</f>
        <v>#VALUE!</v>
      </c>
      <c r="G28" s="26"/>
      <c r="H28" s="50"/>
      <c r="I28" s="80" t="s">
        <v>49</v>
      </c>
      <c r="J28" s="89"/>
      <c r="K28" s="89"/>
      <c r="L28" s="90"/>
      <c r="M28" s="89"/>
      <c r="N28" s="89"/>
      <c r="O28" s="45"/>
      <c r="P28" s="45"/>
      <c r="Q28" s="45"/>
    </row>
    <row r="29" spans="1:17" ht="12.75" customHeight="1">
      <c r="A29" s="1" t="s">
        <v>20</v>
      </c>
      <c r="B29" s="14" t="s">
        <v>0</v>
      </c>
      <c r="C29" s="50"/>
      <c r="D29" s="1" t="s">
        <v>7</v>
      </c>
      <c r="E29" s="75" t="e">
        <f>IF(OR(geslacht="m",geslacht="man"),(174.2*watt+4020)*1/(103.2*hartf-6299)*cfactor*1/gewicht*1000,(163.8*watt+3780)*1/(104.4*hartf-7514)*cfactor*1/gewicht*1000)</f>
        <v>#VALUE!</v>
      </c>
      <c r="F29" s="41" t="e">
        <f>IF(vo2n&lt;grens,"poor",(IF(vo2n&lt;grensv,"below average",(IF(vo2n&lt;grensv+5,"average","good")))))</f>
        <v>#VALUE!</v>
      </c>
      <c r="G29" s="50"/>
      <c r="H29" s="50"/>
      <c r="I29" s="41" t="s">
        <v>101</v>
      </c>
      <c r="J29" s="89"/>
      <c r="K29" s="89"/>
      <c r="L29" s="91" t="e">
        <f>1000*(0.0136*WattMax-0.35)/gewicht</f>
        <v>#VALUE!</v>
      </c>
      <c r="M29" s="82" t="s">
        <v>96</v>
      </c>
      <c r="N29" s="91"/>
      <c r="O29" s="45"/>
      <c r="P29" s="45"/>
      <c r="Q29" s="45"/>
    </row>
    <row r="30" spans="1:17" ht="9.75" customHeight="1">
      <c r="A30" s="66"/>
      <c r="B30" s="14"/>
      <c r="C30" s="50"/>
      <c r="D30" s="15"/>
      <c r="E30" s="46"/>
      <c r="F30" s="46"/>
      <c r="G30" s="45"/>
      <c r="H30" s="50"/>
      <c r="I30" s="89"/>
      <c r="J30" s="89"/>
      <c r="K30" s="89"/>
      <c r="L30" s="90"/>
      <c r="M30" s="89"/>
      <c r="N30" s="89"/>
      <c r="O30" s="45"/>
      <c r="P30" s="45"/>
      <c r="Q30" s="45"/>
    </row>
    <row r="31" spans="1:17" ht="15">
      <c r="A31" s="15"/>
      <c r="B31" s="14"/>
      <c r="C31" s="45"/>
      <c r="D31" s="15"/>
      <c r="E31" s="70"/>
      <c r="F31" s="39"/>
      <c r="G31" s="45"/>
      <c r="H31" s="45"/>
      <c r="I31" s="41" t="s">
        <v>102</v>
      </c>
      <c r="J31" s="89"/>
      <c r="K31" s="89"/>
      <c r="L31" s="89" t="s">
        <v>0</v>
      </c>
      <c r="M31" s="83" t="s">
        <v>97</v>
      </c>
      <c r="N31" s="84" t="s">
        <v>98</v>
      </c>
      <c r="O31" s="91" t="e">
        <f>(L31*gewicht*0.001+0.35)/0.0136</f>
        <v>#VALUE!</v>
      </c>
      <c r="P31" s="89" t="s">
        <v>95</v>
      </c>
      <c r="Q31" s="45"/>
    </row>
    <row r="32" spans="1:17" ht="12.75">
      <c r="A32" s="71" t="s">
        <v>99</v>
      </c>
      <c r="B32" s="14"/>
      <c r="C32" s="50"/>
      <c r="D32" s="66"/>
      <c r="E32" s="46"/>
      <c r="F32" s="46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2.75">
      <c r="A33" s="42" t="s">
        <v>67</v>
      </c>
      <c r="B33" s="14"/>
      <c r="C33" s="50"/>
      <c r="D33" s="66"/>
      <c r="E33" s="46"/>
      <c r="F33" s="4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2.75">
      <c r="A34" s="28" t="s">
        <v>50</v>
      </c>
      <c r="B34" s="14"/>
      <c r="C34" s="50"/>
      <c r="D34" s="15"/>
      <c r="E34" s="46"/>
      <c r="F34" s="46"/>
      <c r="G34" s="45"/>
      <c r="H34" s="45"/>
      <c r="I34" s="29"/>
      <c r="J34" s="45"/>
      <c r="K34" s="45"/>
      <c r="L34" s="45"/>
      <c r="M34" s="45"/>
      <c r="N34" s="45"/>
      <c r="O34" s="45"/>
      <c r="P34" s="45"/>
      <c r="Q34" s="45"/>
    </row>
    <row r="35" spans="1:17" ht="12.75">
      <c r="A35" s="93" t="s">
        <v>21</v>
      </c>
      <c r="B35" s="1" t="e">
        <f>IF(Coordeel="poor","improve fitness substantial",(IF(Coordeel="below average","improve fitness",(IF(Coordeel="average","","")))))</f>
        <v>#VALUE!</v>
      </c>
      <c r="C35" s="50"/>
      <c r="D35" s="66"/>
      <c r="E35" s="46"/>
      <c r="F35" s="4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2.75">
      <c r="A36" s="15"/>
      <c r="B36" s="1" t="e">
        <f>IF(bmi&lt;20,"attention weight",(IF(bmi&lt;25," ",(IF(bmi&lt;27,"attention weight",(IF(bmi&gt;27,"reduce weigth","")))))))</f>
        <v>#VALUE!</v>
      </c>
      <c r="C36" s="45"/>
      <c r="D36" s="72"/>
      <c r="E36" s="46"/>
      <c r="F36" s="4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2.75">
      <c r="A37" s="15"/>
      <c r="B37" s="94"/>
      <c r="C37" s="45"/>
      <c r="D37" s="15"/>
      <c r="E37" s="46"/>
      <c r="F37" s="4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.75">
      <c r="A38" s="15"/>
      <c r="B38" s="67"/>
      <c r="C38" s="45"/>
      <c r="D38" s="15"/>
      <c r="E38" s="46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2.75">
      <c r="A39" s="15"/>
      <c r="B39" s="67"/>
      <c r="C39" s="45"/>
      <c r="D39" s="15"/>
      <c r="E39" s="46"/>
      <c r="F39" s="46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2.75">
      <c r="A40" s="15"/>
      <c r="B40" s="67"/>
      <c r="C40" s="45"/>
      <c r="D40" s="15"/>
      <c r="E40" s="46"/>
      <c r="F40" s="4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2.75">
      <c r="A41" s="15"/>
      <c r="B41" s="67"/>
      <c r="C41" s="45"/>
      <c r="D41" s="15"/>
      <c r="E41" s="46"/>
      <c r="F41" s="4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2.75">
      <c r="A42" s="15"/>
      <c r="B42" s="67"/>
      <c r="C42" s="45"/>
      <c r="D42" s="15"/>
      <c r="E42" s="46"/>
      <c r="F42" s="4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2.75">
      <c r="A43" s="15"/>
      <c r="B43" s="74"/>
      <c r="C43" s="45"/>
      <c r="D43" s="15"/>
      <c r="E43" s="46"/>
      <c r="F43" s="4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2.75">
      <c r="A44" s="15"/>
      <c r="B44" s="74"/>
      <c r="C44" s="45"/>
      <c r="D44" s="15"/>
      <c r="E44" s="46"/>
      <c r="F44" s="46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2.75">
      <c r="A45" s="15"/>
      <c r="B45" s="74"/>
      <c r="C45" s="45"/>
      <c r="D45" s="15"/>
      <c r="E45" s="46"/>
      <c r="F45" s="4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3" ht="12.75">
      <c r="A46" s="30" t="s">
        <v>46</v>
      </c>
      <c r="C46" s="19" t="s">
        <v>45</v>
      </c>
    </row>
    <row r="47" spans="1:2" ht="12.75">
      <c r="A47" s="17" t="s">
        <v>36</v>
      </c>
      <c r="B47" s="31"/>
    </row>
    <row r="48" ht="12.75">
      <c r="A48" s="17"/>
    </row>
  </sheetData>
  <sheetProtection sheet="1" scenarios="1" formatCells="0"/>
  <hyperlinks>
    <hyperlink ref="C46" r:id="rId1" display="www.baardakeuringen.nl"/>
  </hyperlinks>
  <printOptions/>
  <pageMargins left="0.23" right="0.14" top="0.3" bottom="0.984251968503937" header="0.34" footer="0.31496062992125984"/>
  <pageSetup horizontalDpi="300" verticalDpi="300" orientation="portrait" paperSize="9" scale="11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showGridLines="0" showZeros="0" zoomScale="85" zoomScaleNormal="85" workbookViewId="0" topLeftCell="A7">
      <selection activeCell="B9" sqref="B9"/>
    </sheetView>
  </sheetViews>
  <sheetFormatPr defaultColWidth="9.140625" defaultRowHeight="12.75"/>
  <cols>
    <col min="1" max="1" width="23.140625" style="5" customWidth="1"/>
    <col min="2" max="2" width="10.00390625" style="4" customWidth="1"/>
    <col min="3" max="3" width="8.28125" style="0" customWidth="1"/>
    <col min="4" max="4" width="23.7109375" style="5" customWidth="1"/>
    <col min="5" max="5" width="8.28125" style="6" customWidth="1"/>
    <col min="6" max="6" width="7.57421875" style="6" customWidth="1"/>
    <col min="7" max="7" width="6.8515625" style="0" customWidth="1"/>
    <col min="8" max="8" width="0.13671875" style="0" hidden="1" customWidth="1"/>
    <col min="9" max="9" width="6.7109375" style="0" customWidth="1"/>
    <col min="10" max="10" width="11.28125" style="0" customWidth="1"/>
    <col min="11" max="11" width="3.421875" style="0" customWidth="1"/>
    <col min="12" max="12" width="3.7109375" style="0" customWidth="1"/>
    <col min="13" max="13" width="7.28125" style="0" customWidth="1"/>
    <col min="14" max="14" width="8.00390625" style="0" customWidth="1"/>
    <col min="15" max="15" width="3.7109375" style="0" customWidth="1"/>
    <col min="16" max="16" width="31.140625" style="0" customWidth="1"/>
    <col min="17" max="17" width="8.00390625" style="0" customWidth="1"/>
    <col min="18" max="18" width="7.8515625" style="0" customWidth="1"/>
    <col min="19" max="19" width="6.57421875" style="0" customWidth="1"/>
    <col min="20" max="20" width="7.00390625" style="0" customWidth="1"/>
  </cols>
  <sheetData>
    <row r="1" spans="1:18" ht="12.75">
      <c r="A1" s="15"/>
      <c r="B1" s="14"/>
      <c r="C1" s="45"/>
      <c r="D1" s="15"/>
      <c r="E1" s="46"/>
      <c r="F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>
      <c r="A2" s="47"/>
      <c r="B2" s="14"/>
      <c r="C2" s="18"/>
      <c r="D2" s="15"/>
      <c r="E2" s="46"/>
      <c r="F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7"/>
      <c r="B3" s="14"/>
      <c r="C3" s="19"/>
      <c r="D3" s="15"/>
      <c r="E3" s="46"/>
      <c r="F3" s="4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7"/>
      <c r="B4" s="14"/>
      <c r="C4" s="45"/>
      <c r="D4" s="15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7"/>
      <c r="B5" s="14"/>
      <c r="C5" s="45"/>
      <c r="D5" s="15"/>
      <c r="E5" s="46"/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2.75">
      <c r="A6" s="15"/>
      <c r="B6" s="14"/>
      <c r="C6" s="45"/>
      <c r="D6" s="15"/>
      <c r="E6" s="46"/>
      <c r="F6" s="4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15"/>
      <c r="B7" s="14"/>
      <c r="C7" s="45"/>
      <c r="D7" s="15"/>
      <c r="E7" s="46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9" customHeight="1">
      <c r="A8" s="15"/>
      <c r="B8" s="14"/>
      <c r="C8" s="45"/>
      <c r="D8" s="15"/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ht="12.75">
      <c r="A9" s="1" t="s">
        <v>8</v>
      </c>
      <c r="B9" s="48" t="s">
        <v>0</v>
      </c>
      <c r="C9" s="49"/>
      <c r="D9" s="1" t="s">
        <v>9</v>
      </c>
      <c r="E9" s="20">
        <f ca="1">NOW()</f>
        <v>41518.80855115741</v>
      </c>
      <c r="F9" s="2"/>
      <c r="G9" s="8"/>
      <c r="H9" s="50"/>
      <c r="I9" s="50"/>
      <c r="J9" s="50"/>
      <c r="K9" s="50"/>
      <c r="L9" s="50"/>
      <c r="M9" s="45"/>
      <c r="N9" s="45"/>
      <c r="O9" s="45"/>
      <c r="P9" s="85" t="s">
        <v>63</v>
      </c>
      <c r="Q9" s="14" t="str">
        <f aca="true" t="shared" si="0" ref="Q9:Q16">B28</f>
        <v> </v>
      </c>
      <c r="R9" s="21"/>
      <c r="S9" s="22"/>
      <c r="T9" s="22"/>
    </row>
    <row r="10" spans="1:20" ht="12.75">
      <c r="A10" s="15" t="s">
        <v>61</v>
      </c>
      <c r="B10" s="52"/>
      <c r="C10" s="50"/>
      <c r="D10" s="3"/>
      <c r="E10" s="46"/>
      <c r="F10" s="46"/>
      <c r="G10" s="50"/>
      <c r="H10" s="50"/>
      <c r="I10" s="50"/>
      <c r="J10" s="50"/>
      <c r="K10" s="50"/>
      <c r="L10" s="50"/>
      <c r="M10" s="45"/>
      <c r="N10" s="45"/>
      <c r="O10" s="45"/>
      <c r="P10" s="85" t="s">
        <v>53</v>
      </c>
      <c r="Q10" s="51" t="str">
        <f t="shared" si="0"/>
        <v> </v>
      </c>
      <c r="R10" s="51" t="e">
        <f aca="true" t="shared" si="1" ref="R10:R15">hartfm</f>
        <v>#VALUE!</v>
      </c>
      <c r="S10" s="33"/>
      <c r="T10" s="33" t="e">
        <f aca="true" t="shared" si="2" ref="T10:T15">hartfm-20</f>
        <v>#VALUE!</v>
      </c>
    </row>
    <row r="11" spans="1:20" ht="12.75">
      <c r="A11" s="1" t="s">
        <v>10</v>
      </c>
      <c r="B11" s="52" t="s">
        <v>0</v>
      </c>
      <c r="C11" s="50"/>
      <c r="D11" s="3"/>
      <c r="E11" s="2"/>
      <c r="F11" s="2"/>
      <c r="G11" s="8"/>
      <c r="H11" s="50"/>
      <c r="I11" s="50"/>
      <c r="J11" s="50"/>
      <c r="K11" s="50"/>
      <c r="L11" s="50"/>
      <c r="M11" s="45"/>
      <c r="N11" s="45"/>
      <c r="O11" s="45"/>
      <c r="P11" s="85" t="s">
        <v>54</v>
      </c>
      <c r="Q11" s="14" t="str">
        <f t="shared" si="0"/>
        <v> </v>
      </c>
      <c r="R11" s="34" t="e">
        <f t="shared" si="1"/>
        <v>#VALUE!</v>
      </c>
      <c r="S11" s="35"/>
      <c r="T11" s="35" t="e">
        <f t="shared" si="2"/>
        <v>#VALUE!</v>
      </c>
    </row>
    <row r="12" spans="1:20" ht="12.75">
      <c r="A12" s="1" t="s">
        <v>11</v>
      </c>
      <c r="B12" s="48" t="s">
        <v>0</v>
      </c>
      <c r="C12" s="50"/>
      <c r="D12" s="1" t="s">
        <v>42</v>
      </c>
      <c r="E12" s="53" t="e">
        <f>(onderzoek-geboorte)/365.25</f>
        <v>#VALUE!</v>
      </c>
      <c r="F12" s="2"/>
      <c r="G12" s="86" t="e">
        <f>IF(lft&lt;10,"Åstrand corrf. Age 10 t/m 70",(IF(lft&lt;70.1,,"Åstrand corrf. Age 10 t/m 70")))</f>
        <v>#VALUE!</v>
      </c>
      <c r="H12" s="50"/>
      <c r="I12" s="45"/>
      <c r="J12" s="50"/>
      <c r="K12" s="50"/>
      <c r="L12" s="50"/>
      <c r="M12" s="45"/>
      <c r="N12" s="45"/>
      <c r="O12" s="45"/>
      <c r="P12" s="85" t="s">
        <v>55</v>
      </c>
      <c r="Q12" s="14" t="str">
        <f t="shared" si="0"/>
        <v> </v>
      </c>
      <c r="R12" s="34" t="e">
        <f t="shared" si="1"/>
        <v>#VALUE!</v>
      </c>
      <c r="S12" s="35"/>
      <c r="T12" s="35" t="e">
        <f t="shared" si="2"/>
        <v>#VALUE!</v>
      </c>
    </row>
    <row r="13" spans="1:20" ht="12.75">
      <c r="A13" s="1" t="s">
        <v>100</v>
      </c>
      <c r="B13" s="14" t="s">
        <v>4</v>
      </c>
      <c r="C13" s="50"/>
      <c r="D13" s="3"/>
      <c r="E13" s="2"/>
      <c r="F13" s="2"/>
      <c r="G13" s="8"/>
      <c r="H13" s="50"/>
      <c r="I13" s="23"/>
      <c r="J13" s="50"/>
      <c r="K13" s="50"/>
      <c r="L13" s="50"/>
      <c r="M13" s="45"/>
      <c r="N13" s="45"/>
      <c r="O13" s="45"/>
      <c r="P13" s="85" t="s">
        <v>56</v>
      </c>
      <c r="Q13" s="14" t="str">
        <f t="shared" si="0"/>
        <v> </v>
      </c>
      <c r="R13" s="34" t="e">
        <f t="shared" si="1"/>
        <v>#VALUE!</v>
      </c>
      <c r="S13" s="35"/>
      <c r="T13" s="35" t="e">
        <f t="shared" si="2"/>
        <v>#VALUE!</v>
      </c>
    </row>
    <row r="14" spans="1:20" ht="12.75">
      <c r="A14" s="1" t="s">
        <v>39</v>
      </c>
      <c r="B14" s="55" t="s">
        <v>0</v>
      </c>
      <c r="C14" s="50"/>
      <c r="D14" s="1" t="s">
        <v>43</v>
      </c>
      <c r="E14" s="24" t="e">
        <f>gewicht*10000/(lengte*lengte)</f>
        <v>#VALUE!</v>
      </c>
      <c r="F14" s="45"/>
      <c r="G14" s="8"/>
      <c r="H14" s="50"/>
      <c r="I14" s="50"/>
      <c r="J14" s="50"/>
      <c r="K14" s="50"/>
      <c r="L14" s="50"/>
      <c r="M14" s="45"/>
      <c r="N14" s="45"/>
      <c r="O14" s="45"/>
      <c r="P14" s="85" t="s">
        <v>57</v>
      </c>
      <c r="Q14" s="14" t="str">
        <f t="shared" si="0"/>
        <v> </v>
      </c>
      <c r="R14" s="34" t="e">
        <f t="shared" si="1"/>
        <v>#VALUE!</v>
      </c>
      <c r="S14" s="35" t="e">
        <f>hartfm-70</f>
        <v>#VALUE!</v>
      </c>
      <c r="T14" s="35" t="e">
        <f t="shared" si="2"/>
        <v>#VALUE!</v>
      </c>
    </row>
    <row r="15" spans="1:20" ht="12.75">
      <c r="A15" s="1" t="s">
        <v>40</v>
      </c>
      <c r="B15" s="14" t="s">
        <v>0</v>
      </c>
      <c r="C15" s="50"/>
      <c r="D15" s="1" t="s">
        <v>44</v>
      </c>
      <c r="E15" s="21" t="e">
        <f>-(25*(lengte*lengte)/10000-gewicht)</f>
        <v>#VALUE!</v>
      </c>
      <c r="F15" s="21" t="e">
        <f>-(27*(lengte*lengte)/10000-gewicht)</f>
        <v>#VALUE!</v>
      </c>
      <c r="G15" s="8"/>
      <c r="H15" s="50"/>
      <c r="I15" s="50"/>
      <c r="J15" s="50"/>
      <c r="K15" s="50"/>
      <c r="L15" s="50"/>
      <c r="M15" s="45"/>
      <c r="N15" s="45"/>
      <c r="O15" s="45"/>
      <c r="P15" s="85" t="s">
        <v>58</v>
      </c>
      <c r="Q15" s="14">
        <f t="shared" si="0"/>
        <v>0</v>
      </c>
      <c r="R15" s="34" t="e">
        <f t="shared" si="1"/>
        <v>#VALUE!</v>
      </c>
      <c r="S15" s="35" t="e">
        <f>hartfm-70</f>
        <v>#VALUE!</v>
      </c>
      <c r="T15" s="35" t="e">
        <f t="shared" si="2"/>
        <v>#VALUE!</v>
      </c>
    </row>
    <row r="16" spans="1:20" ht="12.75">
      <c r="A16" s="1" t="s">
        <v>41</v>
      </c>
      <c r="B16" s="14" t="s">
        <v>0</v>
      </c>
      <c r="C16" s="50"/>
      <c r="D16" s="1" t="s">
        <v>23</v>
      </c>
      <c r="E16" s="25" t="e">
        <f>middel/heup</f>
        <v>#VALUE!</v>
      </c>
      <c r="F16" s="25">
        <f>IF(OR(geslacht="m",geslacht="man"),0.9,0.8)</f>
        <v>0.9</v>
      </c>
      <c r="G16" s="8"/>
      <c r="H16" s="50"/>
      <c r="I16" s="50"/>
      <c r="J16" s="50"/>
      <c r="K16" s="50"/>
      <c r="L16" s="50"/>
      <c r="M16" s="45"/>
      <c r="N16" s="45"/>
      <c r="O16" s="45"/>
      <c r="P16" s="85" t="s">
        <v>64</v>
      </c>
      <c r="Q16" s="14">
        <f t="shared" si="0"/>
        <v>0</v>
      </c>
      <c r="R16" s="21"/>
      <c r="S16" s="22"/>
      <c r="T16" s="22"/>
    </row>
    <row r="17" spans="1:18" ht="12.75">
      <c r="A17" s="1" t="s">
        <v>51</v>
      </c>
      <c r="B17" s="14" t="s">
        <v>0</v>
      </c>
      <c r="C17" s="50"/>
      <c r="D17" s="1"/>
      <c r="E17" s="21"/>
      <c r="F17" s="21"/>
      <c r="G17" s="8"/>
      <c r="H17" s="50"/>
      <c r="I17" s="50"/>
      <c r="J17" s="50"/>
      <c r="K17" s="50"/>
      <c r="L17" s="50"/>
      <c r="M17" s="45"/>
      <c r="N17" s="45"/>
      <c r="O17" s="45"/>
      <c r="P17" s="45"/>
      <c r="Q17" s="45"/>
      <c r="R17" s="45"/>
    </row>
    <row r="18" spans="1:18" ht="12.75">
      <c r="A18" s="1" t="s">
        <v>24</v>
      </c>
      <c r="B18" s="24" t="e">
        <f>IF(OR(geslacht="m",geslacht="man"),bmim,bmiv)</f>
        <v>#VALUE!</v>
      </c>
      <c r="C18" s="56" t="e">
        <f>IF(bodyfat2=0,bodyfat1,bodyfat2)</f>
        <v>#VALUE!</v>
      </c>
      <c r="D18" s="15" t="s">
        <v>25</v>
      </c>
      <c r="E18" s="57" t="e">
        <f>IF(bodyfat&lt;1," ",(IF(bodyfat&lt;J18,"low",(IF(bodyfat&lt;K18,"normal",(IF(bodyfat&lt;L18,"high","extra high")))))))</f>
        <v>#VALUE!</v>
      </c>
      <c r="F18" s="46"/>
      <c r="G18" s="45"/>
      <c r="H18" s="50"/>
      <c r="I18" s="13" t="s">
        <v>5</v>
      </c>
      <c r="J18" s="10" t="e">
        <f>IF(OR(geslacht="m",geslacht="man"),(lft-47)*4.4/22+15,(lft-47)*4.4/22+27)</f>
        <v>#VALUE!</v>
      </c>
      <c r="K18" s="10" t="e">
        <f>J18+7</f>
        <v>#VALUE!</v>
      </c>
      <c r="L18" s="10" t="e">
        <f>J18+14</f>
        <v>#VALUE!</v>
      </c>
      <c r="M18" s="45"/>
      <c r="N18" s="45"/>
      <c r="O18" s="45"/>
      <c r="P18" s="45"/>
      <c r="Q18" s="45"/>
      <c r="R18" s="45"/>
    </row>
    <row r="19" spans="1:18" ht="12.75">
      <c r="A19" s="1" t="s">
        <v>26</v>
      </c>
      <c r="B19" s="14">
        <v>0</v>
      </c>
      <c r="C19" s="50"/>
      <c r="D19" s="15"/>
      <c r="E19" s="36"/>
      <c r="F19" s="46"/>
      <c r="G19" s="45"/>
      <c r="H19" s="50"/>
      <c r="I19" s="58" t="e">
        <f>1.281*bmi+0.13*lft-15.36</f>
        <v>#VALUE!</v>
      </c>
      <c r="J19" s="58" t="e">
        <f>1.48*bmi+0.13*lft-10.2</f>
        <v>#VALUE!</v>
      </c>
      <c r="K19" s="37"/>
      <c r="L19" s="38"/>
      <c r="M19" s="45"/>
      <c r="N19" s="45"/>
      <c r="O19" s="45"/>
      <c r="P19" s="45"/>
      <c r="Q19" s="45"/>
      <c r="R19" s="45"/>
    </row>
    <row r="20" spans="1:18" ht="7.5" customHeight="1">
      <c r="A20" s="15"/>
      <c r="B20" s="14"/>
      <c r="C20" s="45"/>
      <c r="D20" s="15"/>
      <c r="E20" s="46"/>
      <c r="F20" s="46"/>
      <c r="G20" s="8"/>
      <c r="H20" s="50"/>
      <c r="I20" s="58" t="e">
        <f>1.281*bmi-11.03+0.15*(lft-36)</f>
        <v>#VALUE!</v>
      </c>
      <c r="J20" s="58" t="e">
        <f>1.48*bmi-4.3+0.11*(lft-32)</f>
        <v>#VALUE!</v>
      </c>
      <c r="K20" s="9" t="s">
        <v>6</v>
      </c>
      <c r="L20" s="59"/>
      <c r="M20" s="59"/>
      <c r="N20" s="45"/>
      <c r="O20" s="45"/>
      <c r="P20" s="45"/>
      <c r="Q20" s="45"/>
      <c r="R20" s="45"/>
    </row>
    <row r="21" spans="1:18" ht="12.75" customHeight="1">
      <c r="A21" s="15" t="s">
        <v>1</v>
      </c>
      <c r="B21" s="14" t="s">
        <v>0</v>
      </c>
      <c r="C21" s="50"/>
      <c r="D21" s="15" t="s">
        <v>27</v>
      </c>
      <c r="E21" s="39" t="e">
        <f>IF(OR(geslacht="m",geslacht="man"),N22,O22)</f>
        <v>#VALUE!</v>
      </c>
      <c r="F21" s="60" t="e">
        <f>B21/E21</f>
        <v>#VALUE!</v>
      </c>
      <c r="G21" s="86" t="e">
        <f>IF(lft&lt;17,"use reference for children"," ")</f>
        <v>#VALUE!</v>
      </c>
      <c r="H21" s="61"/>
      <c r="I21" s="45"/>
      <c r="J21" s="62" t="s">
        <v>66</v>
      </c>
      <c r="K21" s="45"/>
      <c r="L21" s="45"/>
      <c r="M21" s="45"/>
      <c r="N21" s="10" t="e">
        <f>IF(lft&gt;25,129/35*lengte+((70-lft)*116/45)-172.2857,129/35*lengte+((70-25)*116/45)-172.2857)</f>
        <v>#VALUE!</v>
      </c>
      <c r="O21" s="10" t="e">
        <f>IF(lft&gt;25,116/35*lengte+((70-lft)*81/45)-195.5714,116/35*lengte+((70-25)*81/45)-195.5714)</f>
        <v>#VALUE!</v>
      </c>
      <c r="P21" s="45"/>
      <c r="Q21" s="45"/>
      <c r="R21" s="45"/>
    </row>
    <row r="22" spans="1:18" ht="12.75" customHeight="1">
      <c r="A22" s="15" t="s">
        <v>2</v>
      </c>
      <c r="B22" s="14" t="s">
        <v>0</v>
      </c>
      <c r="C22" s="50"/>
      <c r="D22" s="15" t="s">
        <v>28</v>
      </c>
      <c r="E22" s="39" t="e">
        <f>IF(OR(geslacht="m",geslacht="man"),N23,O23)</f>
        <v>#VALUE!</v>
      </c>
      <c r="F22" s="60" t="e">
        <f>B22/E22</f>
        <v>#VALUE!</v>
      </c>
      <c r="G22" s="45"/>
      <c r="H22" s="50"/>
      <c r="I22" s="45"/>
      <c r="J22" s="62" t="s">
        <v>66</v>
      </c>
      <c r="K22" s="45"/>
      <c r="L22" s="45"/>
      <c r="M22" s="45"/>
      <c r="N22" s="11" t="e">
        <f>IF(lft&gt;25,1.6/35*lengte+((70-lft)*1.3/45)-4.9857,1.6/35*lengte+((70-25)*1.3/45)-4.9857)</f>
        <v>#VALUE!</v>
      </c>
      <c r="O22" s="11" t="e">
        <f>IF(lft&gt;25,1.5/35*lengte+((70-lft)*1.1/45)-4.8143,1.5/35*lengte+((70-25)*1.1/45)-4.8143)</f>
        <v>#VALUE!</v>
      </c>
      <c r="P22" s="45"/>
      <c r="Q22" s="45"/>
      <c r="R22" s="45"/>
    </row>
    <row r="23" spans="1:18" ht="12.75" customHeight="1">
      <c r="A23" s="1" t="s">
        <v>59</v>
      </c>
      <c r="B23" s="14" t="s">
        <v>0</v>
      </c>
      <c r="C23" s="50"/>
      <c r="D23" s="15" t="s">
        <v>29</v>
      </c>
      <c r="E23" s="24" t="e">
        <f>IF(OR(geslacht="m",geslacht="man"),N21,O21)</f>
        <v>#VALUE!</v>
      </c>
      <c r="F23" s="60" t="e">
        <f>B23/E23</f>
        <v>#VALUE!</v>
      </c>
      <c r="G23" s="45"/>
      <c r="H23" s="50"/>
      <c r="I23" s="45"/>
      <c r="J23" s="62" t="s">
        <v>66</v>
      </c>
      <c r="K23" s="45"/>
      <c r="L23" s="45"/>
      <c r="M23" s="45"/>
      <c r="N23" s="11" t="e">
        <f>IF(lft&gt;25,2/35*lengte+((70-lft)*1.175/45)-6.0794,2/35*lengte+((70-25)*1.175/45)-6.0794)</f>
        <v>#VALUE!</v>
      </c>
      <c r="O23" s="11" t="e">
        <f>IF(lft&gt;25,1.55/35*lengte+((70-lft)*1.175/45)-4.7,1.55/35*lengte+((70-25)*1.175/45)-4.7)</f>
        <v>#VALUE!</v>
      </c>
      <c r="P23" s="45"/>
      <c r="Q23" s="45"/>
      <c r="R23" s="45"/>
    </row>
    <row r="24" spans="1:18" ht="12.75" customHeight="1">
      <c r="A24" s="15" t="s">
        <v>3</v>
      </c>
      <c r="B24" s="63" t="e">
        <f>B21/B22*100</f>
        <v>#VALUE!</v>
      </c>
      <c r="C24" s="50"/>
      <c r="D24" s="15" t="s">
        <v>30</v>
      </c>
      <c r="E24" s="39" t="e">
        <f>IF(OR(geslacht="m",geslacht="man"),N24,O24)</f>
        <v>#VALUE!</v>
      </c>
      <c r="F24" s="64" t="e">
        <f>B24/E24</f>
        <v>#VALUE!</v>
      </c>
      <c r="G24" s="15"/>
      <c r="H24" s="50"/>
      <c r="I24" s="45"/>
      <c r="J24" s="62" t="s">
        <v>66</v>
      </c>
      <c r="K24" s="45"/>
      <c r="L24" s="45"/>
      <c r="M24" s="45"/>
      <c r="N24" s="12" t="e">
        <f>IF(lft&gt;25,(70-lft)*8.4/45+74.6,(70-25)*8.4/45+74.6)</f>
        <v>#VALUE!</v>
      </c>
      <c r="O24" s="12" t="e">
        <f>IF(lft&gt;25,(70-lft)*8.1/45+76.008,(70-25)*8.1/45+76.008)</f>
        <v>#VALUE!</v>
      </c>
      <c r="P24" s="45"/>
      <c r="Q24" s="45"/>
      <c r="R24" s="45"/>
    </row>
    <row r="25" spans="1:18" ht="7.5" customHeight="1">
      <c r="A25" s="3"/>
      <c r="B25" s="14"/>
      <c r="C25" s="50"/>
      <c r="D25" s="45"/>
      <c r="E25" s="45"/>
      <c r="F25" s="45"/>
      <c r="G25" s="8"/>
      <c r="H25" s="50"/>
      <c r="I25" s="50"/>
      <c r="J25" s="50"/>
      <c r="K25" s="50"/>
      <c r="L25" s="50"/>
      <c r="M25" s="45"/>
      <c r="N25" s="45"/>
      <c r="O25" s="45"/>
      <c r="P25" s="45"/>
      <c r="Q25" s="45"/>
      <c r="R25" s="45"/>
    </row>
    <row r="26" spans="1:18" ht="12.75" customHeight="1">
      <c r="A26" s="1" t="s">
        <v>31</v>
      </c>
      <c r="B26" s="14" t="s">
        <v>0</v>
      </c>
      <c r="C26" s="50"/>
      <c r="D26" s="45"/>
      <c r="E26" s="45"/>
      <c r="F26" s="45"/>
      <c r="G26" s="8"/>
      <c r="H26" s="50"/>
      <c r="I26" s="50"/>
      <c r="J26" s="50"/>
      <c r="K26" s="50"/>
      <c r="L26" s="50"/>
      <c r="M26" s="45"/>
      <c r="N26" s="45"/>
      <c r="O26" s="45"/>
      <c r="P26" s="45"/>
      <c r="Q26" s="45"/>
      <c r="R26" s="45"/>
    </row>
    <row r="27" spans="1:18" ht="12.75">
      <c r="A27" s="1" t="s">
        <v>37</v>
      </c>
      <c r="B27" s="14"/>
      <c r="C27" s="50"/>
      <c r="D27" s="1" t="s">
        <v>12</v>
      </c>
      <c r="E27" s="65">
        <f>22.5*4</f>
        <v>90</v>
      </c>
      <c r="F27" s="46"/>
      <c r="G27" s="50"/>
      <c r="H27" s="50"/>
      <c r="I27" s="50"/>
      <c r="J27" s="50"/>
      <c r="K27" s="50"/>
      <c r="L27" s="50"/>
      <c r="M27" s="45"/>
      <c r="N27" s="45"/>
      <c r="O27" s="45"/>
      <c r="P27" s="45"/>
      <c r="Q27" s="45"/>
      <c r="R27" s="45"/>
    </row>
    <row r="28" spans="1:18" ht="12.75">
      <c r="A28" s="1" t="s">
        <v>13</v>
      </c>
      <c r="B28" s="14" t="s">
        <v>0</v>
      </c>
      <c r="C28" s="50"/>
      <c r="D28" s="45"/>
      <c r="E28" s="4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2.75">
      <c r="A29" s="1" t="s">
        <v>14</v>
      </c>
      <c r="B29" s="14" t="s">
        <v>0</v>
      </c>
      <c r="C29" s="50"/>
      <c r="D29" s="1" t="s">
        <v>52</v>
      </c>
      <c r="E29" s="21" t="e">
        <f>IF(OR(geslacht="m",geslacht="man"),wattm,wattv)</f>
        <v>#VALUE!</v>
      </c>
      <c r="F29" s="40" t="e">
        <f>IF(gewicht&lt;69.49,gewicht*50/20.1-22.9,gewicht*50/24.666+9.2)</f>
        <v>#VALUE!</v>
      </c>
      <c r="G29" s="76" t="e">
        <f>gewicht*2.076-21.26</f>
        <v>#VALUE!</v>
      </c>
      <c r="H29" s="87"/>
      <c r="I29" s="77" t="e">
        <f>IF(220-hartfm&lt;45,1.217142-0.34/35*(220-hartfm),(IF(220-hartfm&lt;75,1.086-0.17/25*(220-hartfm),"X")))</f>
        <v>#VALUE!</v>
      </c>
      <c r="J29" s="78" t="s">
        <v>60</v>
      </c>
      <c r="K29" s="88"/>
      <c r="L29" s="78"/>
      <c r="M29" s="88"/>
      <c r="N29" s="88"/>
      <c r="O29" s="88"/>
      <c r="P29" s="89"/>
      <c r="Q29" s="45"/>
      <c r="R29" s="45"/>
    </row>
    <row r="30" spans="1:18" ht="12.75">
      <c r="A30" s="1" t="s">
        <v>15</v>
      </c>
      <c r="B30" s="14" t="s">
        <v>0</v>
      </c>
      <c r="C30" s="50"/>
      <c r="D30" s="1" t="s">
        <v>62</v>
      </c>
      <c r="E30" s="21" t="e">
        <f>220-lft</f>
        <v>#VALUE!</v>
      </c>
      <c r="F30" s="46"/>
      <c r="G30" s="79"/>
      <c r="H30" s="87"/>
      <c r="I30" s="80" t="s">
        <v>47</v>
      </c>
      <c r="J30" s="80"/>
      <c r="K30" s="81" t="e">
        <f>150-lft</f>
        <v>#VALUE!</v>
      </c>
      <c r="L30" s="81" t="e">
        <f>200-lft</f>
        <v>#VALUE!</v>
      </c>
      <c r="M30" s="78" t="s">
        <v>92</v>
      </c>
      <c r="N30" s="88"/>
      <c r="O30" s="88"/>
      <c r="P30" s="89"/>
      <c r="Q30" s="45"/>
      <c r="R30" s="45"/>
    </row>
    <row r="31" spans="1:18" ht="12.75">
      <c r="A31" s="1" t="s">
        <v>16</v>
      </c>
      <c r="B31" s="14" t="s">
        <v>0</v>
      </c>
      <c r="C31" s="50"/>
      <c r="D31" s="1" t="s">
        <v>17</v>
      </c>
      <c r="E31" s="75" t="e">
        <f>(vo2m*gewicht*0.001+0.35)/0.0136</f>
        <v>#VALUE!</v>
      </c>
      <c r="F31" s="27" t="e">
        <f>IF(OR(geslacht="m",geslacht="man"),(174.2*watt+4020)*1/(103.2*hartf-6299),(163.8*watt+3780)*1/(104.4*hartf-7514))</f>
        <v>#VALUE!</v>
      </c>
      <c r="G31" s="8"/>
      <c r="H31" s="50"/>
      <c r="I31" s="41" t="s">
        <v>93</v>
      </c>
      <c r="J31" s="89"/>
      <c r="K31" s="89"/>
      <c r="L31" s="89" t="s">
        <v>94</v>
      </c>
      <c r="M31" s="89" t="s">
        <v>95</v>
      </c>
      <c r="N31" s="89"/>
      <c r="O31" s="89"/>
      <c r="P31" s="89"/>
      <c r="Q31" s="45"/>
      <c r="R31" s="45"/>
    </row>
    <row r="32" spans="1:18" ht="12.75">
      <c r="A32" s="1" t="s">
        <v>18</v>
      </c>
      <c r="B32" s="14" t="s">
        <v>0</v>
      </c>
      <c r="C32" s="50"/>
      <c r="D32" s="45"/>
      <c r="E32" s="45"/>
      <c r="F32" s="45"/>
      <c r="G32" s="8"/>
      <c r="H32" s="50"/>
      <c r="I32" s="89"/>
      <c r="J32" s="89"/>
      <c r="K32" s="89"/>
      <c r="L32" s="90"/>
      <c r="M32" s="89"/>
      <c r="N32" s="89"/>
      <c r="O32" s="89"/>
      <c r="P32" s="89"/>
      <c r="Q32" s="45"/>
      <c r="R32" s="45"/>
    </row>
    <row r="33" spans="1:18" ht="12.75" customHeight="1">
      <c r="A33" s="1" t="s">
        <v>19</v>
      </c>
      <c r="B33" s="14" t="s">
        <v>0</v>
      </c>
      <c r="C33" s="50"/>
      <c r="D33" s="15"/>
      <c r="E33" s="46"/>
      <c r="F33" s="46"/>
      <c r="G33" s="8"/>
      <c r="H33" s="50"/>
      <c r="I33" s="89"/>
      <c r="J33" s="89"/>
      <c r="K33" s="89"/>
      <c r="L33" s="90"/>
      <c r="M33" s="89"/>
      <c r="N33" s="89"/>
      <c r="O33" s="89"/>
      <c r="P33" s="89"/>
      <c r="Q33" s="45"/>
      <c r="R33" s="45"/>
    </row>
    <row r="34" spans="1:18" ht="12.75" customHeight="1">
      <c r="A34" s="1" t="s">
        <v>48</v>
      </c>
      <c r="B34" s="14">
        <v>0</v>
      </c>
      <c r="C34" s="56" t="str">
        <f>IF(hartf6=0,hartf5,(hartf5+hartf6)/2)</f>
        <v> </v>
      </c>
      <c r="D34" s="1" t="s">
        <v>22</v>
      </c>
      <c r="E34" s="2" t="e">
        <f>IF(lft&lt;35,35,(IF(lft&lt;40,31,(IF(lft&lt;45,29,(IF(lft&lt;50,27,26)))))))</f>
        <v>#VALUE!</v>
      </c>
      <c r="F34" s="2" t="e">
        <f>IF(lft&lt;35,40,(IF(lft&lt;40,35,(IF(lft&lt;45,33,(IF(lft&lt;50,31,30)))))))</f>
        <v>#VALUE!</v>
      </c>
      <c r="G34" s="45"/>
      <c r="H34" s="50"/>
      <c r="I34" s="80" t="s">
        <v>49</v>
      </c>
      <c r="J34" s="89"/>
      <c r="K34" s="89"/>
      <c r="L34" s="90"/>
      <c r="M34" s="89"/>
      <c r="N34" s="89"/>
      <c r="O34" s="89"/>
      <c r="P34" s="89"/>
      <c r="Q34" s="45"/>
      <c r="R34" s="45"/>
    </row>
    <row r="35" spans="1:18" ht="12.75" customHeight="1">
      <c r="A35" s="1" t="s">
        <v>20</v>
      </c>
      <c r="B35" s="14">
        <v>0</v>
      </c>
      <c r="C35" s="50"/>
      <c r="D35" s="1" t="s">
        <v>7</v>
      </c>
      <c r="E35" s="75" t="e">
        <f>IF(OR(geslacht="m",geslacht="man"),(174.2*watt+4020)*1/(103.2*hartf-6299)*cfactor*1/gewicht*1000,(163.8*watt+3780)*1/(104.4*hartf-7514)*cfactor*1/gewicht*1000)</f>
        <v>#VALUE!</v>
      </c>
      <c r="F35" s="41" t="e">
        <f>IF(vo2n&lt;grens,"poor",(IF(vo2n&lt;grensv,"below average",(IF(vo2n&lt;grensv+5,"average","good")))))</f>
        <v>#VALUE!</v>
      </c>
      <c r="G35" s="50"/>
      <c r="H35" s="50"/>
      <c r="I35" s="41" t="s">
        <v>104</v>
      </c>
      <c r="J35" s="89"/>
      <c r="K35" s="89"/>
      <c r="L35" s="91" t="e">
        <f>1000*(0.0136*WattMax-0.35)/gewicht</f>
        <v>#VALUE!</v>
      </c>
      <c r="M35" s="82" t="s">
        <v>96</v>
      </c>
      <c r="N35" s="91"/>
      <c r="O35" s="89"/>
      <c r="P35" s="89"/>
      <c r="Q35" s="45"/>
      <c r="R35" s="45"/>
    </row>
    <row r="36" spans="1:18" ht="7.5" customHeight="1">
      <c r="A36" s="66"/>
      <c r="B36" s="14"/>
      <c r="C36" s="50"/>
      <c r="D36" s="15"/>
      <c r="E36" s="46"/>
      <c r="F36" s="46"/>
      <c r="G36" s="45"/>
      <c r="H36" s="50"/>
      <c r="I36" s="89"/>
      <c r="J36" s="89"/>
      <c r="K36" s="89"/>
      <c r="L36" s="90"/>
      <c r="M36" s="89"/>
      <c r="N36" s="89"/>
      <c r="O36" s="89"/>
      <c r="P36" s="89"/>
      <c r="Q36" s="45"/>
      <c r="R36" s="45"/>
    </row>
    <row r="37" spans="1:18" ht="15">
      <c r="A37" s="1" t="s">
        <v>38</v>
      </c>
      <c r="B37" s="14">
        <v>0</v>
      </c>
      <c r="C37" s="45"/>
      <c r="D37" s="1" t="s">
        <v>32</v>
      </c>
      <c r="E37" s="46"/>
      <c r="F37" s="46"/>
      <c r="G37" s="45"/>
      <c r="H37" s="45"/>
      <c r="I37" s="41" t="s">
        <v>105</v>
      </c>
      <c r="J37" s="89"/>
      <c r="K37" s="89"/>
      <c r="L37" s="89" t="s">
        <v>0</v>
      </c>
      <c r="M37" s="83" t="s">
        <v>97</v>
      </c>
      <c r="N37" s="84" t="s">
        <v>98</v>
      </c>
      <c r="O37" s="91" t="e">
        <f>(L37*gewicht*0.001+0.35)/0.0136</f>
        <v>#VALUE!</v>
      </c>
      <c r="P37" s="89" t="s">
        <v>95</v>
      </c>
      <c r="Q37" s="45"/>
      <c r="R37" s="45"/>
    </row>
    <row r="38" spans="1:18" ht="12.75">
      <c r="A38" s="15"/>
      <c r="B38" s="67"/>
      <c r="C38" s="45"/>
      <c r="D38" s="1" t="s">
        <v>33</v>
      </c>
      <c r="E38" s="39">
        <f>IF(sigaret&gt;0.1,(lft*0.08-1.4)*sigaret/12+1,"")</f>
      </c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2.75">
      <c r="A39" s="15"/>
      <c r="B39" s="68"/>
      <c r="C39" s="45"/>
      <c r="D39" s="1" t="s">
        <v>34</v>
      </c>
      <c r="E39" s="39" t="e">
        <f>0.041*lft-0.023*vo2m+0.019*bodyfat</f>
        <v>#VALUE!</v>
      </c>
      <c r="F39" s="46"/>
      <c r="G39" s="39"/>
      <c r="H39" s="45"/>
      <c r="I39" s="69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2.75">
      <c r="A40" s="15"/>
      <c r="B40" s="14"/>
      <c r="C40" s="45"/>
      <c r="D40" s="1" t="s">
        <v>35</v>
      </c>
      <c r="E40" s="70"/>
      <c r="F40" s="39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2.75">
      <c r="A41" s="15"/>
      <c r="B41" s="14"/>
      <c r="C41" s="45"/>
      <c r="D41" s="15"/>
      <c r="E41" s="70"/>
      <c r="F41" s="39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2.75">
      <c r="A42" s="71" t="s">
        <v>90</v>
      </c>
      <c r="B42" s="14"/>
      <c r="C42" s="50"/>
      <c r="D42" s="66"/>
      <c r="E42" s="46"/>
      <c r="F42" s="4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2.75">
      <c r="A43" s="71" t="s">
        <v>67</v>
      </c>
      <c r="B43" s="14"/>
      <c r="C43" s="50"/>
      <c r="D43" s="66"/>
      <c r="E43" s="46"/>
      <c r="F43" s="46"/>
      <c r="G43" s="45"/>
      <c r="H43" s="45"/>
      <c r="I43" s="45"/>
      <c r="J43" s="45"/>
      <c r="K43" s="45"/>
      <c r="L43" s="45"/>
      <c r="M43" s="42"/>
      <c r="N43" s="45"/>
      <c r="O43" s="45"/>
      <c r="P43" s="45"/>
      <c r="Q43" s="45"/>
      <c r="R43" s="45"/>
    </row>
    <row r="44" spans="1:18" ht="12.75">
      <c r="A44" s="1" t="s">
        <v>21</v>
      </c>
      <c r="B44" s="14"/>
      <c r="C44" s="50"/>
      <c r="D44" s="15"/>
      <c r="E44" s="46"/>
      <c r="F44" s="46"/>
      <c r="G44" s="45"/>
      <c r="H44" s="45"/>
      <c r="I44" s="29"/>
      <c r="J44" s="45"/>
      <c r="K44" s="45"/>
      <c r="L44" s="45"/>
      <c r="M44" s="42"/>
      <c r="N44" s="45"/>
      <c r="O44" s="45"/>
      <c r="P44" s="45"/>
      <c r="Q44" s="45"/>
      <c r="R44" s="45"/>
    </row>
    <row r="45" spans="1:18" ht="12.75">
      <c r="A45" s="1" t="e">
        <f>IF(VetOordeel="low","attention weight",(IF(VetOordeel="normal","",(IF(VetOordeel="high","attention weight",(IF(VetOordeel="extra high","reduce weigth","")))))))</f>
        <v>#VALUE!</v>
      </c>
      <c r="B45" s="14"/>
      <c r="C45" s="50"/>
      <c r="D45" s="66"/>
      <c r="E45" s="46"/>
      <c r="F45" s="4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2.75">
      <c r="A46" s="1" t="e">
        <f>IF(Coordeel="poor","improve fitness substantial",(IF(Coordeel="below average","improve fitness",(IF(Coordeel="average","maintain fitness","")))))</f>
        <v>#VALUE!</v>
      </c>
      <c r="B46" s="14"/>
      <c r="C46" s="45"/>
      <c r="D46" s="72"/>
      <c r="E46" s="46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2.75">
      <c r="A47" s="1" t="e">
        <f>IF(bubble&gt;1.1,"adapt dive time to the higher risk of nitogen (NO2) bubbles"," ")</f>
        <v>#VALUE!</v>
      </c>
      <c r="B47" s="14"/>
      <c r="C47" s="45"/>
      <c r="D47" s="15"/>
      <c r="E47" s="46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2.75">
      <c r="A48" s="73" t="str">
        <f>IF(sigaret&gt;0.1,"stop smoking"," ")</f>
        <v> </v>
      </c>
      <c r="B48" s="14"/>
      <c r="C48" s="45"/>
      <c r="D48" s="15"/>
      <c r="E48" s="46"/>
      <c r="F48" s="46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2.75">
      <c r="A49" s="73" t="str">
        <f>IF(sigaret&gt;0.1,"smoking gives offen damage wich is not compatible with diving"," ")</f>
        <v> </v>
      </c>
      <c r="B49" s="14"/>
      <c r="C49" s="45"/>
      <c r="D49" s="15"/>
      <c r="E49" s="46"/>
      <c r="F49" s="4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2.75">
      <c r="A50" s="15"/>
      <c r="B50" s="74"/>
      <c r="C50" s="45"/>
      <c r="D50" s="15"/>
      <c r="E50" s="46"/>
      <c r="F50" s="4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2.75">
      <c r="A51" s="15"/>
      <c r="B51" s="74"/>
      <c r="C51" s="45"/>
      <c r="D51" s="15"/>
      <c r="E51" s="46"/>
      <c r="F51" s="46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2.75">
      <c r="A52" s="15"/>
      <c r="B52" s="74"/>
      <c r="C52" s="45"/>
      <c r="D52" s="15"/>
      <c r="E52" s="46"/>
      <c r="F52" s="4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2.75">
      <c r="A53" s="15"/>
      <c r="B53" s="74"/>
      <c r="C53" s="45"/>
      <c r="D53" s="15"/>
      <c r="E53" s="46"/>
      <c r="F53" s="4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12.75">
      <c r="A54" s="15"/>
      <c r="B54" s="74"/>
      <c r="C54" s="45"/>
      <c r="D54" s="15"/>
      <c r="E54" s="46"/>
      <c r="F54" s="46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3" ht="12.75">
      <c r="A55" s="30" t="s">
        <v>46</v>
      </c>
      <c r="C55" s="19" t="s">
        <v>45</v>
      </c>
    </row>
    <row r="56" ht="12.75">
      <c r="A56" s="17" t="s">
        <v>36</v>
      </c>
    </row>
  </sheetData>
  <sheetProtection password="D873" sheet="1" scenarios="1" formatCells="0"/>
  <hyperlinks>
    <hyperlink ref="C55" r:id="rId1" display="www.baardakeuringen.nl"/>
  </hyperlinks>
  <printOptions/>
  <pageMargins left="0.4330708661417323" right="0.1968503937007874" top="0.31496062992125984" bottom="0.31496062992125984" header="0.35433070866141736" footer="0.31496062992125984"/>
  <pageSetup horizontalDpi="300" verticalDpi="300" orientation="portrait" paperSize="9" scale="11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RowColHeaders="0" showOutlineSymbols="0"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88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89</v>
      </c>
    </row>
    <row r="21" ht="15">
      <c r="A21" s="43" t="s">
        <v>85</v>
      </c>
    </row>
    <row r="22" ht="15">
      <c r="A22" s="43" t="s">
        <v>91</v>
      </c>
    </row>
    <row r="24" spans="1:6" ht="15">
      <c r="A24" s="44" t="s">
        <v>86</v>
      </c>
      <c r="B24" s="43"/>
      <c r="C24" s="43"/>
      <c r="E24" s="44" t="s">
        <v>87</v>
      </c>
      <c r="F24" s="43"/>
    </row>
  </sheetData>
  <sheetProtection password="D873" sheet="1" objects="1" scenarios="1"/>
  <hyperlinks>
    <hyperlink ref="E24" r:id="rId1" display="http://www.baardakeuringen.nl/"/>
    <hyperlink ref="A24" r:id="rId2" display="Baarda Medische keuringen"/>
  </hyperlinks>
  <printOptions/>
  <pageMargins left="0.17" right="0.5" top="1" bottom="1" header="0.5" footer="0.5"/>
  <pageSetup horizontalDpi="300" verticalDpi="3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C.M. Baarda</dc:creator>
  <cp:keywords/>
  <dc:description/>
  <cp:lastModifiedBy>Casper</cp:lastModifiedBy>
  <cp:lastPrinted>2011-02-12T12:49:55Z</cp:lastPrinted>
  <dcterms:created xsi:type="dcterms:W3CDTF">2001-01-08T10:12:17Z</dcterms:created>
  <dcterms:modified xsi:type="dcterms:W3CDTF">2013-09-01T17:24:18Z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